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Enero" sheetId="2" state="visible" r:id="rId2"/>
    <sheet name="Febrero" sheetId="3" state="visible" r:id="rId3"/>
    <sheet name="Marzo" sheetId="4" state="visible" r:id="rId4"/>
    <sheet name="Abril" sheetId="5" state="visible" r:id="rId5"/>
    <sheet name="Mayo" sheetId="6" state="visible" r:id="rId6"/>
    <sheet name="Junio" sheetId="7" state="visible" r:id="rId7"/>
    <sheet name="Julio" sheetId="8" state="visible" r:id="rId8"/>
    <sheet name="Agosto" sheetId="9" state="visible" r:id="rId9"/>
    <sheet name="Septiembre" sheetId="10" state="visible" r:id="rId10"/>
    <sheet name="Octubre" sheetId="11" state="visible" r:id="rId11"/>
    <sheet name="Noviembre" sheetId="12" state="visible" r:id="rId12"/>
    <sheet name="Diciembre" sheetId="13" state="visible" r:id="rId13"/>
    <sheet name="Festivos" sheetId="14" state="visible" r:id="rId14"/>
    <sheet name="Cómo usarla" sheetId="15" state="visible" r:id="rId15"/>
  </sheets>
  <definedNames>
    <definedName name="_xlnm.Print_Titles" localSheetId="1">'Enero'!$5:$7</definedName>
    <definedName name="_xlnm.Print_Titles" localSheetId="2">'Febrero'!$5:$7</definedName>
    <definedName name="_xlnm.Print_Titles" localSheetId="3">'Marzo'!$5:$7</definedName>
    <definedName name="_xlnm.Print_Titles" localSheetId="4">'Abril'!$5:$7</definedName>
    <definedName name="_xlnm.Print_Titles" localSheetId="5">'Mayo'!$5:$7</definedName>
    <definedName name="_xlnm.Print_Titles" localSheetId="6">'Junio'!$5:$7</definedName>
    <definedName name="_xlnm.Print_Titles" localSheetId="7">'Julio'!$5:$7</definedName>
    <definedName name="_xlnm.Print_Titles" localSheetId="8">'Agosto'!$5:$7</definedName>
    <definedName name="_xlnm.Print_Titles" localSheetId="9">'Septiembre'!$5:$7</definedName>
    <definedName name="_xlnm.Print_Titles" localSheetId="10">'Octubre'!$5:$7</definedName>
    <definedName name="_xlnm.Print_Titles" localSheetId="11">'Noviembre'!$5:$7</definedName>
    <definedName name="_xlnm.Print_Titles" localSheetId="12">'Diciembre'!$5:$7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General;-General;&quot;&quot;"/>
  </numFmts>
  <fonts count="11">
    <font>
      <name val="Calibri"/>
      <family val="2"/>
      <color theme="1"/>
      <sz val="11"/>
      <scheme val="minor"/>
    </font>
    <font>
      <b val="1"/>
      <color rgb="00D01C25"/>
      <sz val="14"/>
    </font>
    <font>
      <i val="1"/>
      <color rgb="005F6573"/>
    </font>
    <font>
      <b val="1"/>
      <color rgb="00FFFFFF"/>
    </font>
    <font>
      <b val="1"/>
      <color rgb="00D01C25"/>
      <sz val="16"/>
    </font>
    <font>
      <b val="1"/>
      <color rgb="00D01C25"/>
      <u val="single"/>
    </font>
    <font>
      <b val="1"/>
    </font>
    <font>
      <b val="1"/>
      <color rgb="00D01C25"/>
    </font>
    <font>
      <b val="1"/>
      <color rgb="00D01C25"/>
      <sz val="13"/>
    </font>
    <font>
      <color rgb="001F2328"/>
      <sz val="11"/>
    </font>
    <font>
      <b val="1"/>
      <color rgb="00D01C25"/>
      <sz val="11"/>
      <u val="single"/>
    </font>
  </fonts>
  <fills count="13">
    <fill>
      <patternFill/>
    </fill>
    <fill>
      <patternFill patternType="gray125"/>
    </fill>
    <fill>
      <patternFill patternType="solid">
        <fgColor rgb="00D01C25"/>
      </patternFill>
    </fill>
    <fill>
      <patternFill patternType="solid">
        <fgColor rgb="00FFF3C4"/>
      </patternFill>
    </fill>
    <fill>
      <patternFill patternType="solid">
        <fgColor rgb="005F6573"/>
      </patternFill>
    </fill>
    <fill>
      <patternFill patternType="solid">
        <fgColor rgb="00FFF8DD"/>
      </patternFill>
    </fill>
    <fill>
      <patternFill patternType="solid">
        <fgColor rgb="00FFD1D3"/>
      </patternFill>
    </fill>
    <fill>
      <patternFill patternType="solid">
        <fgColor rgb="00FFE7E9"/>
      </patternFill>
    </fill>
    <fill>
      <patternFill patternType="solid">
        <fgColor rgb="00FFE9A8"/>
      </patternFill>
    </fill>
    <fill>
      <patternFill patternType="solid">
        <fgColor rgb="00C9C2F0"/>
      </patternFill>
    </fill>
    <fill>
      <patternFill patternType="solid">
        <fgColor rgb="00E2E2E2"/>
      </patternFill>
    </fill>
    <fill>
      <patternFill patternType="solid">
        <fgColor rgb="00FFE0B8"/>
      </patternFill>
    </fill>
    <fill>
      <patternFill patternType="solid">
        <fgColor rgb="00F1F1F3"/>
      </patternFill>
    </fill>
  </fills>
  <borders count="6">
    <border>
      <left/>
      <right/>
      <top/>
      <bottom/>
      <diagonal/>
    </border>
    <border>
      <left style="thin">
        <color rgb="00C9CCD2"/>
      </left>
      <right style="thin">
        <color rgb="00C9CCD2"/>
      </right>
      <top style="thin">
        <color rgb="00C9CCD2"/>
      </top>
      <bottom style="thin">
        <color rgb="00C9CCD2"/>
      </bottom>
    </border>
    <border>
      <left/>
      <right/>
      <top style="thin">
        <color rgb="00C9CCD2"/>
      </top>
      <bottom/>
      <diagonal/>
    </border>
    <border>
      <left/>
      <right style="thin">
        <color rgb="00C9CCD2"/>
      </right>
      <top style="thin">
        <color rgb="00C9CCD2"/>
      </top>
      <bottom/>
      <diagonal/>
    </border>
    <border>
      <left/>
      <right/>
      <top style="thin">
        <color rgb="00C9CCD2"/>
      </top>
      <bottom style="thin">
        <color rgb="00C9CCD2"/>
      </bottom>
      <diagonal/>
    </border>
    <border>
      <left/>
      <right style="thin">
        <color rgb="00C9CCD2"/>
      </right>
      <top style="thin">
        <color rgb="00C9CCD2"/>
      </top>
      <bottom style="thin">
        <color rgb="00C9CC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5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2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1" fontId="0" fillId="0" borderId="1" applyAlignment="1" pivotButton="0" quotePrefix="0" xfId="0">
      <alignment horizontal="center" vertical="center"/>
    </xf>
    <xf numFmtId="0" fontId="7" fillId="0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12" borderId="0" pivotButton="0" quotePrefix="0" xfId="0"/>
    <xf numFmtId="0" fontId="1" fillId="0" borderId="0" pivotButton="0" quotePrefix="0" xfId="0"/>
    <xf numFmtId="0" fontId="3" fillId="4" borderId="0" pivotButton="0" quotePrefix="0" xfId="0"/>
    <xf numFmtId="165" fontId="0" fillId="0" borderId="0" pivotButton="0" quotePrefix="0" xfId="0"/>
    <xf numFmtId="165" fontId="0" fillId="3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dxfs count="8">
    <dxf>
      <font>
        <b val="1"/>
        <color rgb="00D01C25"/>
      </font>
      <fill>
        <patternFill patternType="solid">
          <fgColor rgb="00FFD1D3"/>
          <bgColor rgb="00FFD1D3"/>
        </patternFill>
      </fill>
    </dxf>
    <dxf>
      <fill>
        <patternFill patternType="solid">
          <fgColor rgb="00FFD1D3"/>
          <bgColor rgb="00FFD1D3"/>
        </patternFill>
      </fill>
    </dxf>
    <dxf>
      <fill>
        <patternFill patternType="solid">
          <fgColor rgb="00FFE7E9"/>
          <bgColor rgb="00FFE7E9"/>
        </patternFill>
      </fill>
    </dxf>
    <dxf>
      <fill>
        <patternFill patternType="solid">
          <fgColor rgb="00FFE9A8"/>
          <bgColor rgb="00FFE9A8"/>
        </patternFill>
      </fill>
    </dxf>
    <dxf>
      <fill>
        <patternFill patternType="solid">
          <fgColor rgb="00C9C2F0"/>
          <bgColor rgb="00C9C2F0"/>
        </patternFill>
      </fill>
    </dxf>
    <dxf>
      <fill>
        <patternFill patternType="solid">
          <fgColor rgb="00E2E2E2"/>
          <bgColor rgb="00E2E2E2"/>
        </patternFill>
      </fill>
    </dxf>
    <dxf>
      <fill>
        <patternFill patternType="solid">
          <fgColor rgb="00FFE0B8"/>
          <bgColor rgb="00FFE0B8"/>
        </patternFill>
      </fill>
    </dxf>
    <dxf>
      <fill>
        <patternFill patternType="solid">
          <fgColor rgb="00F1F1F3"/>
          <bgColor rgb="00F1F1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_rels/sheet15.xml.rels><Relationships xmlns="http://schemas.openxmlformats.org/package/2006/relationships"><Relationship Type="http://schemas.openxmlformats.org/officeDocument/2006/relationships/hyperlink" Target="https://satcontrol.es/vacaciones-y-ausencias/?utm_source=plantilla&amp;utm_medium=excel&amp;utm_campaign=vacacion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11" customWidth="1" min="16" max="16"/>
    <col width="11" customWidth="1" min="17" max="17"/>
    <col width="11" customWidth="1" min="18" max="18"/>
  </cols>
  <sheetData>
    <row r="1">
      <c r="A1" s="1" t="inlineStr">
        <is>
          <t>Control de vacaciones 2027</t>
        </is>
      </c>
      <c r="F1" s="2" t="inlineStr">
        <is>
          <t>Sin hojas ni recuentos a mano: pruébalo gratis en satcontrol.es</t>
        </is>
      </c>
    </row>
    <row r="2">
      <c r="A2" s="3" t="inlineStr">
        <is>
          <t>Año</t>
        </is>
      </c>
      <c r="B2" s="4" t="n">
        <v>2027</v>
      </c>
      <c r="D2" s="3" t="inlineStr">
        <is>
          <t>Comunidad</t>
        </is>
      </c>
      <c r="E2" s="4" t="inlineStr">
        <is>
          <t>Toda España (solo las comunes)</t>
        </is>
      </c>
      <c r="F2" s="5" t="n"/>
      <c r="G2" s="5" t="n"/>
      <c r="H2" s="6" t="n"/>
    </row>
    <row r="3">
      <c r="A3" s="7" t="inlineStr">
        <is>
          <t>Escribe cada persona y los días que le corresponden. Las vacaciones se marcan en la hoja de cada mes (V, o M para medio día) y aquí se suman solas.</t>
        </is>
      </c>
    </row>
    <row r="5" ht="32" customHeight="1">
      <c r="A5" s="8" t="inlineStr">
        <is>
          <t>Empleado</t>
        </is>
      </c>
      <c r="B5" s="8" t="inlineStr">
        <is>
          <t>Días que le corresponden</t>
        </is>
      </c>
      <c r="C5" s="8" t="inlineStr">
        <is>
          <t>Pendientes del año anterior</t>
        </is>
      </c>
      <c r="D5" s="9" t="inlineStr">
        <is>
          <t>Ene</t>
        </is>
      </c>
      <c r="E5" s="9" t="inlineStr">
        <is>
          <t>Feb</t>
        </is>
      </c>
      <c r="F5" s="9" t="inlineStr">
        <is>
          <t>Mar</t>
        </is>
      </c>
      <c r="G5" s="9" t="inlineStr">
        <is>
          <t>Abr</t>
        </is>
      </c>
      <c r="H5" s="9" t="inlineStr">
        <is>
          <t>May</t>
        </is>
      </c>
      <c r="I5" s="9" t="inlineStr">
        <is>
          <t>Jun</t>
        </is>
      </c>
      <c r="J5" s="9" t="inlineStr">
        <is>
          <t>Jul</t>
        </is>
      </c>
      <c r="K5" s="9" t="inlineStr">
        <is>
          <t>Ago</t>
        </is>
      </c>
      <c r="L5" s="9" t="inlineStr">
        <is>
          <t>Sep</t>
        </is>
      </c>
      <c r="M5" s="9" t="inlineStr">
        <is>
          <t>Oct</t>
        </is>
      </c>
      <c r="N5" s="9" t="inlineStr">
        <is>
          <t>Nov</t>
        </is>
      </c>
      <c r="O5" s="9" t="inlineStr">
        <is>
          <t>Dic</t>
        </is>
      </c>
      <c r="P5" s="8" t="inlineStr">
        <is>
          <t>Disfrutados</t>
        </is>
      </c>
      <c r="Q5" s="8" t="inlineStr">
        <is>
          <t>Le quedan</t>
        </is>
      </c>
      <c r="R5" s="8" t="inlineStr">
        <is>
          <t>Ausencias (días)</t>
        </is>
      </c>
    </row>
    <row r="6">
      <c r="A6" s="10" t="n"/>
      <c r="B6" s="11" t="n"/>
      <c r="C6" s="11" t="n"/>
      <c r="D6" s="12">
        <f>'Enero'!AG9</f>
        <v/>
      </c>
      <c r="E6" s="12">
        <f>'Febrero'!AG9</f>
        <v/>
      </c>
      <c r="F6" s="12">
        <f>'Marzo'!AG9</f>
        <v/>
      </c>
      <c r="G6" s="12">
        <f>'Abril'!AG9</f>
        <v/>
      </c>
      <c r="H6" s="12">
        <f>'Mayo'!AG9</f>
        <v/>
      </c>
      <c r="I6" s="12">
        <f>'Junio'!AG9</f>
        <v/>
      </c>
      <c r="J6" s="12">
        <f>'Julio'!AG9</f>
        <v/>
      </c>
      <c r="K6" s="12">
        <f>'Agosto'!AG9</f>
        <v/>
      </c>
      <c r="L6" s="12">
        <f>'Septiembre'!AG9</f>
        <v/>
      </c>
      <c r="M6" s="12">
        <f>'Octubre'!AG9</f>
        <v/>
      </c>
      <c r="N6" s="12">
        <f>'Noviembre'!AG9</f>
        <v/>
      </c>
      <c r="O6" s="12">
        <f>'Diciembre'!AG9</f>
        <v/>
      </c>
      <c r="P6" s="13">
        <f>IF(A6="","",SUM(D6:O6))</f>
        <v/>
      </c>
      <c r="Q6" s="13">
        <f>IF(A6="","",N(B6)+N(C6)-SUM(D6:O6))</f>
        <v/>
      </c>
      <c r="R6" s="13">
        <f>IF(A6="","",'Enero'!AH9+'Febrero'!AH9+'Marzo'!AH9+'Abril'!AH9+'Mayo'!AH9+'Junio'!AH9+'Julio'!AH9+'Agosto'!AH9+'Septiembre'!AH9+'Octubre'!AH9+'Noviembre'!AH9+'Diciembre'!AH9)</f>
        <v/>
      </c>
    </row>
    <row r="7">
      <c r="A7" s="10" t="n"/>
      <c r="B7" s="11" t="n"/>
      <c r="C7" s="11" t="n"/>
      <c r="D7" s="12">
        <f>'Enero'!AG10</f>
        <v/>
      </c>
      <c r="E7" s="12">
        <f>'Febrero'!AG10</f>
        <v/>
      </c>
      <c r="F7" s="12">
        <f>'Marzo'!AG10</f>
        <v/>
      </c>
      <c r="G7" s="12">
        <f>'Abril'!AG10</f>
        <v/>
      </c>
      <c r="H7" s="12">
        <f>'Mayo'!AG10</f>
        <v/>
      </c>
      <c r="I7" s="12">
        <f>'Junio'!AG10</f>
        <v/>
      </c>
      <c r="J7" s="12">
        <f>'Julio'!AG10</f>
        <v/>
      </c>
      <c r="K7" s="12">
        <f>'Agosto'!AG10</f>
        <v/>
      </c>
      <c r="L7" s="12">
        <f>'Septiembre'!AG10</f>
        <v/>
      </c>
      <c r="M7" s="12">
        <f>'Octubre'!AG10</f>
        <v/>
      </c>
      <c r="N7" s="12">
        <f>'Noviembre'!AG10</f>
        <v/>
      </c>
      <c r="O7" s="12">
        <f>'Diciembre'!AG10</f>
        <v/>
      </c>
      <c r="P7" s="13">
        <f>IF(A7="","",SUM(D7:O7))</f>
        <v/>
      </c>
      <c r="Q7" s="13">
        <f>IF(A7="","",N(B7)+N(C7)-SUM(D7:O7))</f>
        <v/>
      </c>
      <c r="R7" s="13">
        <f>IF(A7="","",'Enero'!AH10+'Febrero'!AH10+'Marzo'!AH10+'Abril'!AH10+'Mayo'!AH10+'Junio'!AH10+'Julio'!AH10+'Agosto'!AH10+'Septiembre'!AH10+'Octubre'!AH10+'Noviembre'!AH10+'Diciembre'!AH10)</f>
        <v/>
      </c>
    </row>
    <row r="8">
      <c r="A8" s="10" t="n"/>
      <c r="B8" s="11" t="n"/>
      <c r="C8" s="11" t="n"/>
      <c r="D8" s="12">
        <f>'Enero'!AG11</f>
        <v/>
      </c>
      <c r="E8" s="12">
        <f>'Febrero'!AG11</f>
        <v/>
      </c>
      <c r="F8" s="12">
        <f>'Marzo'!AG11</f>
        <v/>
      </c>
      <c r="G8" s="12">
        <f>'Abril'!AG11</f>
        <v/>
      </c>
      <c r="H8" s="12">
        <f>'Mayo'!AG11</f>
        <v/>
      </c>
      <c r="I8" s="12">
        <f>'Junio'!AG11</f>
        <v/>
      </c>
      <c r="J8" s="12">
        <f>'Julio'!AG11</f>
        <v/>
      </c>
      <c r="K8" s="12">
        <f>'Agosto'!AG11</f>
        <v/>
      </c>
      <c r="L8" s="12">
        <f>'Septiembre'!AG11</f>
        <v/>
      </c>
      <c r="M8" s="12">
        <f>'Octubre'!AG11</f>
        <v/>
      </c>
      <c r="N8" s="12">
        <f>'Noviembre'!AG11</f>
        <v/>
      </c>
      <c r="O8" s="12">
        <f>'Diciembre'!AG11</f>
        <v/>
      </c>
      <c r="P8" s="13">
        <f>IF(A8="","",SUM(D8:O8))</f>
        <v/>
      </c>
      <c r="Q8" s="13">
        <f>IF(A8="","",N(B8)+N(C8)-SUM(D8:O8))</f>
        <v/>
      </c>
      <c r="R8" s="13">
        <f>IF(A8="","",'Enero'!AH11+'Febrero'!AH11+'Marzo'!AH11+'Abril'!AH11+'Mayo'!AH11+'Junio'!AH11+'Julio'!AH11+'Agosto'!AH11+'Septiembre'!AH11+'Octubre'!AH11+'Noviembre'!AH11+'Diciembre'!AH11)</f>
        <v/>
      </c>
    </row>
    <row r="9">
      <c r="A9" s="10" t="n"/>
      <c r="B9" s="11" t="n"/>
      <c r="C9" s="11" t="n"/>
      <c r="D9" s="12">
        <f>'Enero'!AG12</f>
        <v/>
      </c>
      <c r="E9" s="12">
        <f>'Febrero'!AG12</f>
        <v/>
      </c>
      <c r="F9" s="12">
        <f>'Marzo'!AG12</f>
        <v/>
      </c>
      <c r="G9" s="12">
        <f>'Abril'!AG12</f>
        <v/>
      </c>
      <c r="H9" s="12">
        <f>'Mayo'!AG12</f>
        <v/>
      </c>
      <c r="I9" s="12">
        <f>'Junio'!AG12</f>
        <v/>
      </c>
      <c r="J9" s="12">
        <f>'Julio'!AG12</f>
        <v/>
      </c>
      <c r="K9" s="12">
        <f>'Agosto'!AG12</f>
        <v/>
      </c>
      <c r="L9" s="12">
        <f>'Septiembre'!AG12</f>
        <v/>
      </c>
      <c r="M9" s="12">
        <f>'Octubre'!AG12</f>
        <v/>
      </c>
      <c r="N9" s="12">
        <f>'Noviembre'!AG12</f>
        <v/>
      </c>
      <c r="O9" s="12">
        <f>'Diciembre'!AG12</f>
        <v/>
      </c>
      <c r="P9" s="13">
        <f>IF(A9="","",SUM(D9:O9))</f>
        <v/>
      </c>
      <c r="Q9" s="13">
        <f>IF(A9="","",N(B9)+N(C9)-SUM(D9:O9))</f>
        <v/>
      </c>
      <c r="R9" s="13">
        <f>IF(A9="","",'Enero'!AH12+'Febrero'!AH12+'Marzo'!AH12+'Abril'!AH12+'Mayo'!AH12+'Junio'!AH12+'Julio'!AH12+'Agosto'!AH12+'Septiembre'!AH12+'Octubre'!AH12+'Noviembre'!AH12+'Diciembre'!AH12)</f>
        <v/>
      </c>
    </row>
    <row r="10">
      <c r="A10" s="10" t="n"/>
      <c r="B10" s="11" t="n"/>
      <c r="C10" s="11" t="n"/>
      <c r="D10" s="12">
        <f>'Enero'!AG13</f>
        <v/>
      </c>
      <c r="E10" s="12">
        <f>'Febrero'!AG13</f>
        <v/>
      </c>
      <c r="F10" s="12">
        <f>'Marzo'!AG13</f>
        <v/>
      </c>
      <c r="G10" s="12">
        <f>'Abril'!AG13</f>
        <v/>
      </c>
      <c r="H10" s="12">
        <f>'Mayo'!AG13</f>
        <v/>
      </c>
      <c r="I10" s="12">
        <f>'Junio'!AG13</f>
        <v/>
      </c>
      <c r="J10" s="12">
        <f>'Julio'!AG13</f>
        <v/>
      </c>
      <c r="K10" s="12">
        <f>'Agosto'!AG13</f>
        <v/>
      </c>
      <c r="L10" s="12">
        <f>'Septiembre'!AG13</f>
        <v/>
      </c>
      <c r="M10" s="12">
        <f>'Octubre'!AG13</f>
        <v/>
      </c>
      <c r="N10" s="12">
        <f>'Noviembre'!AG13</f>
        <v/>
      </c>
      <c r="O10" s="12">
        <f>'Diciembre'!AG13</f>
        <v/>
      </c>
      <c r="P10" s="13">
        <f>IF(A10="","",SUM(D10:O10))</f>
        <v/>
      </c>
      <c r="Q10" s="13">
        <f>IF(A10="","",N(B10)+N(C10)-SUM(D10:O10))</f>
        <v/>
      </c>
      <c r="R10" s="13">
        <f>IF(A10="","",'Enero'!AH13+'Febrero'!AH13+'Marzo'!AH13+'Abril'!AH13+'Mayo'!AH13+'Junio'!AH13+'Julio'!AH13+'Agosto'!AH13+'Septiembre'!AH13+'Octubre'!AH13+'Noviembre'!AH13+'Diciembre'!AH13)</f>
        <v/>
      </c>
    </row>
    <row r="11">
      <c r="A11" s="10" t="n"/>
      <c r="B11" s="11" t="n"/>
      <c r="C11" s="11" t="n"/>
      <c r="D11" s="12">
        <f>'Enero'!AG14</f>
        <v/>
      </c>
      <c r="E11" s="12">
        <f>'Febrero'!AG14</f>
        <v/>
      </c>
      <c r="F11" s="12">
        <f>'Marzo'!AG14</f>
        <v/>
      </c>
      <c r="G11" s="12">
        <f>'Abril'!AG14</f>
        <v/>
      </c>
      <c r="H11" s="12">
        <f>'Mayo'!AG14</f>
        <v/>
      </c>
      <c r="I11" s="12">
        <f>'Junio'!AG14</f>
        <v/>
      </c>
      <c r="J11" s="12">
        <f>'Julio'!AG14</f>
        <v/>
      </c>
      <c r="K11" s="12">
        <f>'Agosto'!AG14</f>
        <v/>
      </c>
      <c r="L11" s="12">
        <f>'Septiembre'!AG14</f>
        <v/>
      </c>
      <c r="M11" s="12">
        <f>'Octubre'!AG14</f>
        <v/>
      </c>
      <c r="N11" s="12">
        <f>'Noviembre'!AG14</f>
        <v/>
      </c>
      <c r="O11" s="12">
        <f>'Diciembre'!AG14</f>
        <v/>
      </c>
      <c r="P11" s="13">
        <f>IF(A11="","",SUM(D11:O11))</f>
        <v/>
      </c>
      <c r="Q11" s="13">
        <f>IF(A11="","",N(B11)+N(C11)-SUM(D11:O11))</f>
        <v/>
      </c>
      <c r="R11" s="13">
        <f>IF(A11="","",'Enero'!AH14+'Febrero'!AH14+'Marzo'!AH14+'Abril'!AH14+'Mayo'!AH14+'Junio'!AH14+'Julio'!AH14+'Agosto'!AH14+'Septiembre'!AH14+'Octubre'!AH14+'Noviembre'!AH14+'Diciembre'!AH14)</f>
        <v/>
      </c>
    </row>
    <row r="12">
      <c r="A12" s="10" t="n"/>
      <c r="B12" s="11" t="n"/>
      <c r="C12" s="11" t="n"/>
      <c r="D12" s="12">
        <f>'Enero'!AG15</f>
        <v/>
      </c>
      <c r="E12" s="12">
        <f>'Febrero'!AG15</f>
        <v/>
      </c>
      <c r="F12" s="12">
        <f>'Marzo'!AG15</f>
        <v/>
      </c>
      <c r="G12" s="12">
        <f>'Abril'!AG15</f>
        <v/>
      </c>
      <c r="H12" s="12">
        <f>'Mayo'!AG15</f>
        <v/>
      </c>
      <c r="I12" s="12">
        <f>'Junio'!AG15</f>
        <v/>
      </c>
      <c r="J12" s="12">
        <f>'Julio'!AG15</f>
        <v/>
      </c>
      <c r="K12" s="12">
        <f>'Agosto'!AG15</f>
        <v/>
      </c>
      <c r="L12" s="12">
        <f>'Septiembre'!AG15</f>
        <v/>
      </c>
      <c r="M12" s="12">
        <f>'Octubre'!AG15</f>
        <v/>
      </c>
      <c r="N12" s="12">
        <f>'Noviembre'!AG15</f>
        <v/>
      </c>
      <c r="O12" s="12">
        <f>'Diciembre'!AG15</f>
        <v/>
      </c>
      <c r="P12" s="13">
        <f>IF(A12="","",SUM(D12:O12))</f>
        <v/>
      </c>
      <c r="Q12" s="13">
        <f>IF(A12="","",N(B12)+N(C12)-SUM(D12:O12))</f>
        <v/>
      </c>
      <c r="R12" s="13">
        <f>IF(A12="","",'Enero'!AH15+'Febrero'!AH15+'Marzo'!AH15+'Abril'!AH15+'Mayo'!AH15+'Junio'!AH15+'Julio'!AH15+'Agosto'!AH15+'Septiembre'!AH15+'Octubre'!AH15+'Noviembre'!AH15+'Diciembre'!AH15)</f>
        <v/>
      </c>
    </row>
    <row r="13">
      <c r="A13" s="10" t="n"/>
      <c r="B13" s="11" t="n"/>
      <c r="C13" s="11" t="n"/>
      <c r="D13" s="12">
        <f>'Enero'!AG16</f>
        <v/>
      </c>
      <c r="E13" s="12">
        <f>'Febrero'!AG16</f>
        <v/>
      </c>
      <c r="F13" s="12">
        <f>'Marzo'!AG16</f>
        <v/>
      </c>
      <c r="G13" s="12">
        <f>'Abril'!AG16</f>
        <v/>
      </c>
      <c r="H13" s="12">
        <f>'Mayo'!AG16</f>
        <v/>
      </c>
      <c r="I13" s="12">
        <f>'Junio'!AG16</f>
        <v/>
      </c>
      <c r="J13" s="12">
        <f>'Julio'!AG16</f>
        <v/>
      </c>
      <c r="K13" s="12">
        <f>'Agosto'!AG16</f>
        <v/>
      </c>
      <c r="L13" s="12">
        <f>'Septiembre'!AG16</f>
        <v/>
      </c>
      <c r="M13" s="12">
        <f>'Octubre'!AG16</f>
        <v/>
      </c>
      <c r="N13" s="12">
        <f>'Noviembre'!AG16</f>
        <v/>
      </c>
      <c r="O13" s="12">
        <f>'Diciembre'!AG16</f>
        <v/>
      </c>
      <c r="P13" s="13">
        <f>IF(A13="","",SUM(D13:O13))</f>
        <v/>
      </c>
      <c r="Q13" s="13">
        <f>IF(A13="","",N(B13)+N(C13)-SUM(D13:O13))</f>
        <v/>
      </c>
      <c r="R13" s="13">
        <f>IF(A13="","",'Enero'!AH16+'Febrero'!AH16+'Marzo'!AH16+'Abril'!AH16+'Mayo'!AH16+'Junio'!AH16+'Julio'!AH16+'Agosto'!AH16+'Septiembre'!AH16+'Octubre'!AH16+'Noviembre'!AH16+'Diciembre'!AH16)</f>
        <v/>
      </c>
    </row>
    <row r="14">
      <c r="A14" s="10" t="n"/>
      <c r="B14" s="11" t="n"/>
      <c r="C14" s="11" t="n"/>
      <c r="D14" s="12">
        <f>'Enero'!AG17</f>
        <v/>
      </c>
      <c r="E14" s="12">
        <f>'Febrero'!AG17</f>
        <v/>
      </c>
      <c r="F14" s="12">
        <f>'Marzo'!AG17</f>
        <v/>
      </c>
      <c r="G14" s="12">
        <f>'Abril'!AG17</f>
        <v/>
      </c>
      <c r="H14" s="12">
        <f>'Mayo'!AG17</f>
        <v/>
      </c>
      <c r="I14" s="12">
        <f>'Junio'!AG17</f>
        <v/>
      </c>
      <c r="J14" s="12">
        <f>'Julio'!AG17</f>
        <v/>
      </c>
      <c r="K14" s="12">
        <f>'Agosto'!AG17</f>
        <v/>
      </c>
      <c r="L14" s="12">
        <f>'Septiembre'!AG17</f>
        <v/>
      </c>
      <c r="M14" s="12">
        <f>'Octubre'!AG17</f>
        <v/>
      </c>
      <c r="N14" s="12">
        <f>'Noviembre'!AG17</f>
        <v/>
      </c>
      <c r="O14" s="12">
        <f>'Diciembre'!AG17</f>
        <v/>
      </c>
      <c r="P14" s="13">
        <f>IF(A14="","",SUM(D14:O14))</f>
        <v/>
      </c>
      <c r="Q14" s="13">
        <f>IF(A14="","",N(B14)+N(C14)-SUM(D14:O14))</f>
        <v/>
      </c>
      <c r="R14" s="13">
        <f>IF(A14="","",'Enero'!AH17+'Febrero'!AH17+'Marzo'!AH17+'Abril'!AH17+'Mayo'!AH17+'Junio'!AH17+'Julio'!AH17+'Agosto'!AH17+'Septiembre'!AH17+'Octubre'!AH17+'Noviembre'!AH17+'Diciembre'!AH17)</f>
        <v/>
      </c>
    </row>
    <row r="15">
      <c r="A15" s="10" t="n"/>
      <c r="B15" s="11" t="n"/>
      <c r="C15" s="11" t="n"/>
      <c r="D15" s="12">
        <f>'Enero'!AG18</f>
        <v/>
      </c>
      <c r="E15" s="12">
        <f>'Febrero'!AG18</f>
        <v/>
      </c>
      <c r="F15" s="12">
        <f>'Marzo'!AG18</f>
        <v/>
      </c>
      <c r="G15" s="12">
        <f>'Abril'!AG18</f>
        <v/>
      </c>
      <c r="H15" s="12">
        <f>'Mayo'!AG18</f>
        <v/>
      </c>
      <c r="I15" s="12">
        <f>'Junio'!AG18</f>
        <v/>
      </c>
      <c r="J15" s="12">
        <f>'Julio'!AG18</f>
        <v/>
      </c>
      <c r="K15" s="12">
        <f>'Agosto'!AG18</f>
        <v/>
      </c>
      <c r="L15" s="12">
        <f>'Septiembre'!AG18</f>
        <v/>
      </c>
      <c r="M15" s="12">
        <f>'Octubre'!AG18</f>
        <v/>
      </c>
      <c r="N15" s="12">
        <f>'Noviembre'!AG18</f>
        <v/>
      </c>
      <c r="O15" s="12">
        <f>'Diciembre'!AG18</f>
        <v/>
      </c>
      <c r="P15" s="13">
        <f>IF(A15="","",SUM(D15:O15))</f>
        <v/>
      </c>
      <c r="Q15" s="13">
        <f>IF(A15="","",N(B15)+N(C15)-SUM(D15:O15))</f>
        <v/>
      </c>
      <c r="R15" s="13">
        <f>IF(A15="","",'Enero'!AH18+'Febrero'!AH18+'Marzo'!AH18+'Abril'!AH18+'Mayo'!AH18+'Junio'!AH18+'Julio'!AH18+'Agosto'!AH18+'Septiembre'!AH18+'Octubre'!AH18+'Noviembre'!AH18+'Diciembre'!AH18)</f>
        <v/>
      </c>
    </row>
    <row r="16">
      <c r="A16" s="10" t="n"/>
      <c r="B16" s="11" t="n"/>
      <c r="C16" s="11" t="n"/>
      <c r="D16" s="12">
        <f>'Enero'!AG19</f>
        <v/>
      </c>
      <c r="E16" s="12">
        <f>'Febrero'!AG19</f>
        <v/>
      </c>
      <c r="F16" s="12">
        <f>'Marzo'!AG19</f>
        <v/>
      </c>
      <c r="G16" s="12">
        <f>'Abril'!AG19</f>
        <v/>
      </c>
      <c r="H16" s="12">
        <f>'Mayo'!AG19</f>
        <v/>
      </c>
      <c r="I16" s="12">
        <f>'Junio'!AG19</f>
        <v/>
      </c>
      <c r="J16" s="12">
        <f>'Julio'!AG19</f>
        <v/>
      </c>
      <c r="K16" s="12">
        <f>'Agosto'!AG19</f>
        <v/>
      </c>
      <c r="L16" s="12">
        <f>'Septiembre'!AG19</f>
        <v/>
      </c>
      <c r="M16" s="12">
        <f>'Octubre'!AG19</f>
        <v/>
      </c>
      <c r="N16" s="12">
        <f>'Noviembre'!AG19</f>
        <v/>
      </c>
      <c r="O16" s="12">
        <f>'Diciembre'!AG19</f>
        <v/>
      </c>
      <c r="P16" s="13">
        <f>IF(A16="","",SUM(D16:O16))</f>
        <v/>
      </c>
      <c r="Q16" s="13">
        <f>IF(A16="","",N(B16)+N(C16)-SUM(D16:O16))</f>
        <v/>
      </c>
      <c r="R16" s="13">
        <f>IF(A16="","",'Enero'!AH19+'Febrero'!AH19+'Marzo'!AH19+'Abril'!AH19+'Mayo'!AH19+'Junio'!AH19+'Julio'!AH19+'Agosto'!AH19+'Septiembre'!AH19+'Octubre'!AH19+'Noviembre'!AH19+'Diciembre'!AH19)</f>
        <v/>
      </c>
    </row>
    <row r="17">
      <c r="A17" s="10" t="n"/>
      <c r="B17" s="11" t="n"/>
      <c r="C17" s="11" t="n"/>
      <c r="D17" s="12">
        <f>'Enero'!AG20</f>
        <v/>
      </c>
      <c r="E17" s="12">
        <f>'Febrero'!AG20</f>
        <v/>
      </c>
      <c r="F17" s="12">
        <f>'Marzo'!AG20</f>
        <v/>
      </c>
      <c r="G17" s="12">
        <f>'Abril'!AG20</f>
        <v/>
      </c>
      <c r="H17" s="12">
        <f>'Mayo'!AG20</f>
        <v/>
      </c>
      <c r="I17" s="12">
        <f>'Junio'!AG20</f>
        <v/>
      </c>
      <c r="J17" s="12">
        <f>'Julio'!AG20</f>
        <v/>
      </c>
      <c r="K17" s="12">
        <f>'Agosto'!AG20</f>
        <v/>
      </c>
      <c r="L17" s="12">
        <f>'Septiembre'!AG20</f>
        <v/>
      </c>
      <c r="M17" s="12">
        <f>'Octubre'!AG20</f>
        <v/>
      </c>
      <c r="N17" s="12">
        <f>'Noviembre'!AG20</f>
        <v/>
      </c>
      <c r="O17" s="12">
        <f>'Diciembre'!AG20</f>
        <v/>
      </c>
      <c r="P17" s="13">
        <f>IF(A17="","",SUM(D17:O17))</f>
        <v/>
      </c>
      <c r="Q17" s="13">
        <f>IF(A17="","",N(B17)+N(C17)-SUM(D17:O17))</f>
        <v/>
      </c>
      <c r="R17" s="13">
        <f>IF(A17="","",'Enero'!AH20+'Febrero'!AH20+'Marzo'!AH20+'Abril'!AH20+'Mayo'!AH20+'Junio'!AH20+'Julio'!AH20+'Agosto'!AH20+'Septiembre'!AH20+'Octubre'!AH20+'Noviembre'!AH20+'Diciembre'!AH20)</f>
        <v/>
      </c>
    </row>
    <row r="18">
      <c r="A18" s="10" t="n"/>
      <c r="B18" s="11" t="n"/>
      <c r="C18" s="11" t="n"/>
      <c r="D18" s="12">
        <f>'Enero'!AG21</f>
        <v/>
      </c>
      <c r="E18" s="12">
        <f>'Febrero'!AG21</f>
        <v/>
      </c>
      <c r="F18" s="12">
        <f>'Marzo'!AG21</f>
        <v/>
      </c>
      <c r="G18" s="12">
        <f>'Abril'!AG21</f>
        <v/>
      </c>
      <c r="H18" s="12">
        <f>'Mayo'!AG21</f>
        <v/>
      </c>
      <c r="I18" s="12">
        <f>'Junio'!AG21</f>
        <v/>
      </c>
      <c r="J18" s="12">
        <f>'Julio'!AG21</f>
        <v/>
      </c>
      <c r="K18" s="12">
        <f>'Agosto'!AG21</f>
        <v/>
      </c>
      <c r="L18" s="12">
        <f>'Septiembre'!AG21</f>
        <v/>
      </c>
      <c r="M18" s="12">
        <f>'Octubre'!AG21</f>
        <v/>
      </c>
      <c r="N18" s="12">
        <f>'Noviembre'!AG21</f>
        <v/>
      </c>
      <c r="O18" s="12">
        <f>'Diciembre'!AG21</f>
        <v/>
      </c>
      <c r="P18" s="13">
        <f>IF(A18="","",SUM(D18:O18))</f>
        <v/>
      </c>
      <c r="Q18" s="13">
        <f>IF(A18="","",N(B18)+N(C18)-SUM(D18:O18))</f>
        <v/>
      </c>
      <c r="R18" s="13">
        <f>IF(A18="","",'Enero'!AH21+'Febrero'!AH21+'Marzo'!AH21+'Abril'!AH21+'Mayo'!AH21+'Junio'!AH21+'Julio'!AH21+'Agosto'!AH21+'Septiembre'!AH21+'Octubre'!AH21+'Noviembre'!AH21+'Diciembre'!AH21)</f>
        <v/>
      </c>
    </row>
    <row r="19">
      <c r="A19" s="10" t="n"/>
      <c r="B19" s="11" t="n"/>
      <c r="C19" s="11" t="n"/>
      <c r="D19" s="12">
        <f>'Enero'!AG22</f>
        <v/>
      </c>
      <c r="E19" s="12">
        <f>'Febrero'!AG22</f>
        <v/>
      </c>
      <c r="F19" s="12">
        <f>'Marzo'!AG22</f>
        <v/>
      </c>
      <c r="G19" s="12">
        <f>'Abril'!AG22</f>
        <v/>
      </c>
      <c r="H19" s="12">
        <f>'Mayo'!AG22</f>
        <v/>
      </c>
      <c r="I19" s="12">
        <f>'Junio'!AG22</f>
        <v/>
      </c>
      <c r="J19" s="12">
        <f>'Julio'!AG22</f>
        <v/>
      </c>
      <c r="K19" s="12">
        <f>'Agosto'!AG22</f>
        <v/>
      </c>
      <c r="L19" s="12">
        <f>'Septiembre'!AG22</f>
        <v/>
      </c>
      <c r="M19" s="12">
        <f>'Octubre'!AG22</f>
        <v/>
      </c>
      <c r="N19" s="12">
        <f>'Noviembre'!AG22</f>
        <v/>
      </c>
      <c r="O19" s="12">
        <f>'Diciembre'!AG22</f>
        <v/>
      </c>
      <c r="P19" s="13">
        <f>IF(A19="","",SUM(D19:O19))</f>
        <v/>
      </c>
      <c r="Q19" s="13">
        <f>IF(A19="","",N(B19)+N(C19)-SUM(D19:O19))</f>
        <v/>
      </c>
      <c r="R19" s="13">
        <f>IF(A19="","",'Enero'!AH22+'Febrero'!AH22+'Marzo'!AH22+'Abril'!AH22+'Mayo'!AH22+'Junio'!AH22+'Julio'!AH22+'Agosto'!AH22+'Septiembre'!AH22+'Octubre'!AH22+'Noviembre'!AH22+'Diciembre'!AH22)</f>
        <v/>
      </c>
    </row>
    <row r="20">
      <c r="A20" s="10" t="n"/>
      <c r="B20" s="11" t="n"/>
      <c r="C20" s="11" t="n"/>
      <c r="D20" s="12">
        <f>'Enero'!AG23</f>
        <v/>
      </c>
      <c r="E20" s="12">
        <f>'Febrero'!AG23</f>
        <v/>
      </c>
      <c r="F20" s="12">
        <f>'Marzo'!AG23</f>
        <v/>
      </c>
      <c r="G20" s="12">
        <f>'Abril'!AG23</f>
        <v/>
      </c>
      <c r="H20" s="12">
        <f>'Mayo'!AG23</f>
        <v/>
      </c>
      <c r="I20" s="12">
        <f>'Junio'!AG23</f>
        <v/>
      </c>
      <c r="J20" s="12">
        <f>'Julio'!AG23</f>
        <v/>
      </c>
      <c r="K20" s="12">
        <f>'Agosto'!AG23</f>
        <v/>
      </c>
      <c r="L20" s="12">
        <f>'Septiembre'!AG23</f>
        <v/>
      </c>
      <c r="M20" s="12">
        <f>'Octubre'!AG23</f>
        <v/>
      </c>
      <c r="N20" s="12">
        <f>'Noviembre'!AG23</f>
        <v/>
      </c>
      <c r="O20" s="12">
        <f>'Diciembre'!AG23</f>
        <v/>
      </c>
      <c r="P20" s="13">
        <f>IF(A20="","",SUM(D20:O20))</f>
        <v/>
      </c>
      <c r="Q20" s="13">
        <f>IF(A20="","",N(B20)+N(C20)-SUM(D20:O20))</f>
        <v/>
      </c>
      <c r="R20" s="13">
        <f>IF(A20="","",'Enero'!AH23+'Febrero'!AH23+'Marzo'!AH23+'Abril'!AH23+'Mayo'!AH23+'Junio'!AH23+'Julio'!AH23+'Agosto'!AH23+'Septiembre'!AH23+'Octubre'!AH23+'Noviembre'!AH23+'Diciembre'!AH23)</f>
        <v/>
      </c>
    </row>
    <row r="21">
      <c r="A21" s="10" t="n"/>
      <c r="B21" s="11" t="n"/>
      <c r="C21" s="11" t="n"/>
      <c r="D21" s="12">
        <f>'Enero'!AG24</f>
        <v/>
      </c>
      <c r="E21" s="12">
        <f>'Febrero'!AG24</f>
        <v/>
      </c>
      <c r="F21" s="12">
        <f>'Marzo'!AG24</f>
        <v/>
      </c>
      <c r="G21" s="12">
        <f>'Abril'!AG24</f>
        <v/>
      </c>
      <c r="H21" s="12">
        <f>'Mayo'!AG24</f>
        <v/>
      </c>
      <c r="I21" s="12">
        <f>'Junio'!AG24</f>
        <v/>
      </c>
      <c r="J21" s="12">
        <f>'Julio'!AG24</f>
        <v/>
      </c>
      <c r="K21" s="12">
        <f>'Agosto'!AG24</f>
        <v/>
      </c>
      <c r="L21" s="12">
        <f>'Septiembre'!AG24</f>
        <v/>
      </c>
      <c r="M21" s="12">
        <f>'Octubre'!AG24</f>
        <v/>
      </c>
      <c r="N21" s="12">
        <f>'Noviembre'!AG24</f>
        <v/>
      </c>
      <c r="O21" s="12">
        <f>'Diciembre'!AG24</f>
        <v/>
      </c>
      <c r="P21" s="13">
        <f>IF(A21="","",SUM(D21:O21))</f>
        <v/>
      </c>
      <c r="Q21" s="13">
        <f>IF(A21="","",N(B21)+N(C21)-SUM(D21:O21))</f>
        <v/>
      </c>
      <c r="R21" s="13">
        <f>IF(A21="","",'Enero'!AH24+'Febrero'!AH24+'Marzo'!AH24+'Abril'!AH24+'Mayo'!AH24+'Junio'!AH24+'Julio'!AH24+'Agosto'!AH24+'Septiembre'!AH24+'Octubre'!AH24+'Noviembre'!AH24+'Diciembre'!AH24)</f>
        <v/>
      </c>
    </row>
    <row r="22">
      <c r="A22" s="10" t="n"/>
      <c r="B22" s="11" t="n"/>
      <c r="C22" s="11" t="n"/>
      <c r="D22" s="12">
        <f>'Enero'!AG25</f>
        <v/>
      </c>
      <c r="E22" s="12">
        <f>'Febrero'!AG25</f>
        <v/>
      </c>
      <c r="F22" s="12">
        <f>'Marzo'!AG25</f>
        <v/>
      </c>
      <c r="G22" s="12">
        <f>'Abril'!AG25</f>
        <v/>
      </c>
      <c r="H22" s="12">
        <f>'Mayo'!AG25</f>
        <v/>
      </c>
      <c r="I22" s="12">
        <f>'Junio'!AG25</f>
        <v/>
      </c>
      <c r="J22" s="12">
        <f>'Julio'!AG25</f>
        <v/>
      </c>
      <c r="K22" s="12">
        <f>'Agosto'!AG25</f>
        <v/>
      </c>
      <c r="L22" s="12">
        <f>'Septiembre'!AG25</f>
        <v/>
      </c>
      <c r="M22" s="12">
        <f>'Octubre'!AG25</f>
        <v/>
      </c>
      <c r="N22" s="12">
        <f>'Noviembre'!AG25</f>
        <v/>
      </c>
      <c r="O22" s="12">
        <f>'Diciembre'!AG25</f>
        <v/>
      </c>
      <c r="P22" s="13">
        <f>IF(A22="","",SUM(D22:O22))</f>
        <v/>
      </c>
      <c r="Q22" s="13">
        <f>IF(A22="","",N(B22)+N(C22)-SUM(D22:O22))</f>
        <v/>
      </c>
      <c r="R22" s="13">
        <f>IF(A22="","",'Enero'!AH25+'Febrero'!AH25+'Marzo'!AH25+'Abril'!AH25+'Mayo'!AH25+'Junio'!AH25+'Julio'!AH25+'Agosto'!AH25+'Septiembre'!AH25+'Octubre'!AH25+'Noviembre'!AH25+'Diciembre'!AH25)</f>
        <v/>
      </c>
    </row>
    <row r="23">
      <c r="A23" s="10" t="n"/>
      <c r="B23" s="11" t="n"/>
      <c r="C23" s="11" t="n"/>
      <c r="D23" s="12">
        <f>'Enero'!AG26</f>
        <v/>
      </c>
      <c r="E23" s="12">
        <f>'Febrero'!AG26</f>
        <v/>
      </c>
      <c r="F23" s="12">
        <f>'Marzo'!AG26</f>
        <v/>
      </c>
      <c r="G23" s="12">
        <f>'Abril'!AG26</f>
        <v/>
      </c>
      <c r="H23" s="12">
        <f>'Mayo'!AG26</f>
        <v/>
      </c>
      <c r="I23" s="12">
        <f>'Junio'!AG26</f>
        <v/>
      </c>
      <c r="J23" s="12">
        <f>'Julio'!AG26</f>
        <v/>
      </c>
      <c r="K23" s="12">
        <f>'Agosto'!AG26</f>
        <v/>
      </c>
      <c r="L23" s="12">
        <f>'Septiembre'!AG26</f>
        <v/>
      </c>
      <c r="M23" s="12">
        <f>'Octubre'!AG26</f>
        <v/>
      </c>
      <c r="N23" s="12">
        <f>'Noviembre'!AG26</f>
        <v/>
      </c>
      <c r="O23" s="12">
        <f>'Diciembre'!AG26</f>
        <v/>
      </c>
      <c r="P23" s="13">
        <f>IF(A23="","",SUM(D23:O23))</f>
        <v/>
      </c>
      <c r="Q23" s="13">
        <f>IF(A23="","",N(B23)+N(C23)-SUM(D23:O23))</f>
        <v/>
      </c>
      <c r="R23" s="13">
        <f>IF(A23="","",'Enero'!AH26+'Febrero'!AH26+'Marzo'!AH26+'Abril'!AH26+'Mayo'!AH26+'Junio'!AH26+'Julio'!AH26+'Agosto'!AH26+'Septiembre'!AH26+'Octubre'!AH26+'Noviembre'!AH26+'Diciembre'!AH26)</f>
        <v/>
      </c>
    </row>
    <row r="24">
      <c r="A24" s="10" t="n"/>
      <c r="B24" s="11" t="n"/>
      <c r="C24" s="11" t="n"/>
      <c r="D24" s="12">
        <f>'Enero'!AG27</f>
        <v/>
      </c>
      <c r="E24" s="12">
        <f>'Febrero'!AG27</f>
        <v/>
      </c>
      <c r="F24" s="12">
        <f>'Marzo'!AG27</f>
        <v/>
      </c>
      <c r="G24" s="12">
        <f>'Abril'!AG27</f>
        <v/>
      </c>
      <c r="H24" s="12">
        <f>'Mayo'!AG27</f>
        <v/>
      </c>
      <c r="I24" s="12">
        <f>'Junio'!AG27</f>
        <v/>
      </c>
      <c r="J24" s="12">
        <f>'Julio'!AG27</f>
        <v/>
      </c>
      <c r="K24" s="12">
        <f>'Agosto'!AG27</f>
        <v/>
      </c>
      <c r="L24" s="12">
        <f>'Septiembre'!AG27</f>
        <v/>
      </c>
      <c r="M24" s="12">
        <f>'Octubre'!AG27</f>
        <v/>
      </c>
      <c r="N24" s="12">
        <f>'Noviembre'!AG27</f>
        <v/>
      </c>
      <c r="O24" s="12">
        <f>'Diciembre'!AG27</f>
        <v/>
      </c>
      <c r="P24" s="13">
        <f>IF(A24="","",SUM(D24:O24))</f>
        <v/>
      </c>
      <c r="Q24" s="13">
        <f>IF(A24="","",N(B24)+N(C24)-SUM(D24:O24))</f>
        <v/>
      </c>
      <c r="R24" s="13">
        <f>IF(A24="","",'Enero'!AH27+'Febrero'!AH27+'Marzo'!AH27+'Abril'!AH27+'Mayo'!AH27+'Junio'!AH27+'Julio'!AH27+'Agosto'!AH27+'Septiembre'!AH27+'Octubre'!AH27+'Noviembre'!AH27+'Diciembre'!AH27)</f>
        <v/>
      </c>
    </row>
    <row r="25">
      <c r="A25" s="10" t="n"/>
      <c r="B25" s="11" t="n"/>
      <c r="C25" s="11" t="n"/>
      <c r="D25" s="12">
        <f>'Enero'!AG28</f>
        <v/>
      </c>
      <c r="E25" s="12">
        <f>'Febrero'!AG28</f>
        <v/>
      </c>
      <c r="F25" s="12">
        <f>'Marzo'!AG28</f>
        <v/>
      </c>
      <c r="G25" s="12">
        <f>'Abril'!AG28</f>
        <v/>
      </c>
      <c r="H25" s="12">
        <f>'Mayo'!AG28</f>
        <v/>
      </c>
      <c r="I25" s="12">
        <f>'Junio'!AG28</f>
        <v/>
      </c>
      <c r="J25" s="12">
        <f>'Julio'!AG28</f>
        <v/>
      </c>
      <c r="K25" s="12">
        <f>'Agosto'!AG28</f>
        <v/>
      </c>
      <c r="L25" s="12">
        <f>'Septiembre'!AG28</f>
        <v/>
      </c>
      <c r="M25" s="12">
        <f>'Octubre'!AG28</f>
        <v/>
      </c>
      <c r="N25" s="12">
        <f>'Noviembre'!AG28</f>
        <v/>
      </c>
      <c r="O25" s="12">
        <f>'Diciembre'!AG28</f>
        <v/>
      </c>
      <c r="P25" s="13">
        <f>IF(A25="","",SUM(D25:O25))</f>
        <v/>
      </c>
      <c r="Q25" s="13">
        <f>IF(A25="","",N(B25)+N(C25)-SUM(D25:O25))</f>
        <v/>
      </c>
      <c r="R25" s="13">
        <f>IF(A25="","",'Enero'!AH28+'Febrero'!AH28+'Marzo'!AH28+'Abril'!AH28+'Mayo'!AH28+'Junio'!AH28+'Julio'!AH28+'Agosto'!AH28+'Septiembre'!AH28+'Octubre'!AH28+'Noviembre'!AH28+'Diciembre'!AH28)</f>
        <v/>
      </c>
    </row>
    <row r="26">
      <c r="A26" s="10" t="n"/>
      <c r="B26" s="11" t="n"/>
      <c r="C26" s="11" t="n"/>
      <c r="D26" s="12">
        <f>'Enero'!AG29</f>
        <v/>
      </c>
      <c r="E26" s="12">
        <f>'Febrero'!AG29</f>
        <v/>
      </c>
      <c r="F26" s="12">
        <f>'Marzo'!AG29</f>
        <v/>
      </c>
      <c r="G26" s="12">
        <f>'Abril'!AG29</f>
        <v/>
      </c>
      <c r="H26" s="12">
        <f>'Mayo'!AG29</f>
        <v/>
      </c>
      <c r="I26" s="12">
        <f>'Junio'!AG29</f>
        <v/>
      </c>
      <c r="J26" s="12">
        <f>'Julio'!AG29</f>
        <v/>
      </c>
      <c r="K26" s="12">
        <f>'Agosto'!AG29</f>
        <v/>
      </c>
      <c r="L26" s="12">
        <f>'Septiembre'!AG29</f>
        <v/>
      </c>
      <c r="M26" s="12">
        <f>'Octubre'!AG29</f>
        <v/>
      </c>
      <c r="N26" s="12">
        <f>'Noviembre'!AG29</f>
        <v/>
      </c>
      <c r="O26" s="12">
        <f>'Diciembre'!AG29</f>
        <v/>
      </c>
      <c r="P26" s="13">
        <f>IF(A26="","",SUM(D26:O26))</f>
        <v/>
      </c>
      <c r="Q26" s="13">
        <f>IF(A26="","",N(B26)+N(C26)-SUM(D26:O26))</f>
        <v/>
      </c>
      <c r="R26" s="13">
        <f>IF(A26="","",'Enero'!AH29+'Febrero'!AH29+'Marzo'!AH29+'Abril'!AH29+'Mayo'!AH29+'Junio'!AH29+'Julio'!AH29+'Agosto'!AH29+'Septiembre'!AH29+'Octubre'!AH29+'Noviembre'!AH29+'Diciembre'!AH29)</f>
        <v/>
      </c>
    </row>
    <row r="27">
      <c r="A27" s="10" t="n"/>
      <c r="B27" s="11" t="n"/>
      <c r="C27" s="11" t="n"/>
      <c r="D27" s="12">
        <f>'Enero'!AG30</f>
        <v/>
      </c>
      <c r="E27" s="12">
        <f>'Febrero'!AG30</f>
        <v/>
      </c>
      <c r="F27" s="12">
        <f>'Marzo'!AG30</f>
        <v/>
      </c>
      <c r="G27" s="12">
        <f>'Abril'!AG30</f>
        <v/>
      </c>
      <c r="H27" s="12">
        <f>'Mayo'!AG30</f>
        <v/>
      </c>
      <c r="I27" s="12">
        <f>'Junio'!AG30</f>
        <v/>
      </c>
      <c r="J27" s="12">
        <f>'Julio'!AG30</f>
        <v/>
      </c>
      <c r="K27" s="12">
        <f>'Agosto'!AG30</f>
        <v/>
      </c>
      <c r="L27" s="12">
        <f>'Septiembre'!AG30</f>
        <v/>
      </c>
      <c r="M27" s="12">
        <f>'Octubre'!AG30</f>
        <v/>
      </c>
      <c r="N27" s="12">
        <f>'Noviembre'!AG30</f>
        <v/>
      </c>
      <c r="O27" s="12">
        <f>'Diciembre'!AG30</f>
        <v/>
      </c>
      <c r="P27" s="13">
        <f>IF(A27="","",SUM(D27:O27))</f>
        <v/>
      </c>
      <c r="Q27" s="13">
        <f>IF(A27="","",N(B27)+N(C27)-SUM(D27:O27))</f>
        <v/>
      </c>
      <c r="R27" s="13">
        <f>IF(A27="","",'Enero'!AH30+'Febrero'!AH30+'Marzo'!AH30+'Abril'!AH30+'Mayo'!AH30+'Junio'!AH30+'Julio'!AH30+'Agosto'!AH30+'Septiembre'!AH30+'Octubre'!AH30+'Noviembre'!AH30+'Diciembre'!AH30)</f>
        <v/>
      </c>
    </row>
    <row r="28">
      <c r="A28" s="10" t="n"/>
      <c r="B28" s="11" t="n"/>
      <c r="C28" s="11" t="n"/>
      <c r="D28" s="12">
        <f>'Enero'!AG31</f>
        <v/>
      </c>
      <c r="E28" s="12">
        <f>'Febrero'!AG31</f>
        <v/>
      </c>
      <c r="F28" s="12">
        <f>'Marzo'!AG31</f>
        <v/>
      </c>
      <c r="G28" s="12">
        <f>'Abril'!AG31</f>
        <v/>
      </c>
      <c r="H28" s="12">
        <f>'Mayo'!AG31</f>
        <v/>
      </c>
      <c r="I28" s="12">
        <f>'Junio'!AG31</f>
        <v/>
      </c>
      <c r="J28" s="12">
        <f>'Julio'!AG31</f>
        <v/>
      </c>
      <c r="K28" s="12">
        <f>'Agosto'!AG31</f>
        <v/>
      </c>
      <c r="L28" s="12">
        <f>'Septiembre'!AG31</f>
        <v/>
      </c>
      <c r="M28" s="12">
        <f>'Octubre'!AG31</f>
        <v/>
      </c>
      <c r="N28" s="12">
        <f>'Noviembre'!AG31</f>
        <v/>
      </c>
      <c r="O28" s="12">
        <f>'Diciembre'!AG31</f>
        <v/>
      </c>
      <c r="P28" s="13">
        <f>IF(A28="","",SUM(D28:O28))</f>
        <v/>
      </c>
      <c r="Q28" s="13">
        <f>IF(A28="","",N(B28)+N(C28)-SUM(D28:O28))</f>
        <v/>
      </c>
      <c r="R28" s="13">
        <f>IF(A28="","",'Enero'!AH31+'Febrero'!AH31+'Marzo'!AH31+'Abril'!AH31+'Mayo'!AH31+'Junio'!AH31+'Julio'!AH31+'Agosto'!AH31+'Septiembre'!AH31+'Octubre'!AH31+'Noviembre'!AH31+'Diciembre'!AH31)</f>
        <v/>
      </c>
    </row>
    <row r="29">
      <c r="A29" s="10" t="n"/>
      <c r="B29" s="11" t="n"/>
      <c r="C29" s="11" t="n"/>
      <c r="D29" s="12">
        <f>'Enero'!AG32</f>
        <v/>
      </c>
      <c r="E29" s="12">
        <f>'Febrero'!AG32</f>
        <v/>
      </c>
      <c r="F29" s="12">
        <f>'Marzo'!AG32</f>
        <v/>
      </c>
      <c r="G29" s="12">
        <f>'Abril'!AG32</f>
        <v/>
      </c>
      <c r="H29" s="12">
        <f>'Mayo'!AG32</f>
        <v/>
      </c>
      <c r="I29" s="12">
        <f>'Junio'!AG32</f>
        <v/>
      </c>
      <c r="J29" s="12">
        <f>'Julio'!AG32</f>
        <v/>
      </c>
      <c r="K29" s="12">
        <f>'Agosto'!AG32</f>
        <v/>
      </c>
      <c r="L29" s="12">
        <f>'Septiembre'!AG32</f>
        <v/>
      </c>
      <c r="M29" s="12">
        <f>'Octubre'!AG32</f>
        <v/>
      </c>
      <c r="N29" s="12">
        <f>'Noviembre'!AG32</f>
        <v/>
      </c>
      <c r="O29" s="12">
        <f>'Diciembre'!AG32</f>
        <v/>
      </c>
      <c r="P29" s="13">
        <f>IF(A29="","",SUM(D29:O29))</f>
        <v/>
      </c>
      <c r="Q29" s="13">
        <f>IF(A29="","",N(B29)+N(C29)-SUM(D29:O29))</f>
        <v/>
      </c>
      <c r="R29" s="13">
        <f>IF(A29="","",'Enero'!AH32+'Febrero'!AH32+'Marzo'!AH32+'Abril'!AH32+'Mayo'!AH32+'Junio'!AH32+'Julio'!AH32+'Agosto'!AH32+'Septiembre'!AH32+'Octubre'!AH32+'Noviembre'!AH32+'Diciembre'!AH32)</f>
        <v/>
      </c>
    </row>
    <row r="30">
      <c r="A30" s="10" t="n"/>
      <c r="B30" s="11" t="n"/>
      <c r="C30" s="11" t="n"/>
      <c r="D30" s="12">
        <f>'Enero'!AG33</f>
        <v/>
      </c>
      <c r="E30" s="12">
        <f>'Febrero'!AG33</f>
        <v/>
      </c>
      <c r="F30" s="12">
        <f>'Marzo'!AG33</f>
        <v/>
      </c>
      <c r="G30" s="12">
        <f>'Abril'!AG33</f>
        <v/>
      </c>
      <c r="H30" s="12">
        <f>'Mayo'!AG33</f>
        <v/>
      </c>
      <c r="I30" s="12">
        <f>'Junio'!AG33</f>
        <v/>
      </c>
      <c r="J30" s="12">
        <f>'Julio'!AG33</f>
        <v/>
      </c>
      <c r="K30" s="12">
        <f>'Agosto'!AG33</f>
        <v/>
      </c>
      <c r="L30" s="12">
        <f>'Septiembre'!AG33</f>
        <v/>
      </c>
      <c r="M30" s="12">
        <f>'Octubre'!AG33</f>
        <v/>
      </c>
      <c r="N30" s="12">
        <f>'Noviembre'!AG33</f>
        <v/>
      </c>
      <c r="O30" s="12">
        <f>'Diciembre'!AG33</f>
        <v/>
      </c>
      <c r="P30" s="13">
        <f>IF(A30="","",SUM(D30:O30))</f>
        <v/>
      </c>
      <c r="Q30" s="13">
        <f>IF(A30="","",N(B30)+N(C30)-SUM(D30:O30))</f>
        <v/>
      </c>
      <c r="R30" s="13">
        <f>IF(A30="","",'Enero'!AH33+'Febrero'!AH33+'Marzo'!AH33+'Abril'!AH33+'Mayo'!AH33+'Junio'!AH33+'Julio'!AH33+'Agosto'!AH33+'Septiembre'!AH33+'Octubre'!AH33+'Noviembre'!AH33+'Diciembre'!AH33)</f>
        <v/>
      </c>
    </row>
    <row r="31">
      <c r="A31" s="10" t="n"/>
      <c r="B31" s="11" t="n"/>
      <c r="C31" s="11" t="n"/>
      <c r="D31" s="12">
        <f>'Enero'!AG34</f>
        <v/>
      </c>
      <c r="E31" s="12">
        <f>'Febrero'!AG34</f>
        <v/>
      </c>
      <c r="F31" s="12">
        <f>'Marzo'!AG34</f>
        <v/>
      </c>
      <c r="G31" s="12">
        <f>'Abril'!AG34</f>
        <v/>
      </c>
      <c r="H31" s="12">
        <f>'Mayo'!AG34</f>
        <v/>
      </c>
      <c r="I31" s="12">
        <f>'Junio'!AG34</f>
        <v/>
      </c>
      <c r="J31" s="12">
        <f>'Julio'!AG34</f>
        <v/>
      </c>
      <c r="K31" s="12">
        <f>'Agosto'!AG34</f>
        <v/>
      </c>
      <c r="L31" s="12">
        <f>'Septiembre'!AG34</f>
        <v/>
      </c>
      <c r="M31" s="12">
        <f>'Octubre'!AG34</f>
        <v/>
      </c>
      <c r="N31" s="12">
        <f>'Noviembre'!AG34</f>
        <v/>
      </c>
      <c r="O31" s="12">
        <f>'Diciembre'!AG34</f>
        <v/>
      </c>
      <c r="P31" s="13">
        <f>IF(A31="","",SUM(D31:O31))</f>
        <v/>
      </c>
      <c r="Q31" s="13">
        <f>IF(A31="","",N(B31)+N(C31)-SUM(D31:O31))</f>
        <v/>
      </c>
      <c r="R31" s="13">
        <f>IF(A31="","",'Enero'!AH34+'Febrero'!AH34+'Marzo'!AH34+'Abril'!AH34+'Mayo'!AH34+'Junio'!AH34+'Julio'!AH34+'Agosto'!AH34+'Septiembre'!AH34+'Octubre'!AH34+'Noviembre'!AH34+'Diciembre'!AH34)</f>
        <v/>
      </c>
    </row>
    <row r="32">
      <c r="A32" s="10" t="n"/>
      <c r="B32" s="11" t="n"/>
      <c r="C32" s="11" t="n"/>
      <c r="D32" s="12">
        <f>'Enero'!AG35</f>
        <v/>
      </c>
      <c r="E32" s="12">
        <f>'Febrero'!AG35</f>
        <v/>
      </c>
      <c r="F32" s="12">
        <f>'Marzo'!AG35</f>
        <v/>
      </c>
      <c r="G32" s="12">
        <f>'Abril'!AG35</f>
        <v/>
      </c>
      <c r="H32" s="12">
        <f>'Mayo'!AG35</f>
        <v/>
      </c>
      <c r="I32" s="12">
        <f>'Junio'!AG35</f>
        <v/>
      </c>
      <c r="J32" s="12">
        <f>'Julio'!AG35</f>
        <v/>
      </c>
      <c r="K32" s="12">
        <f>'Agosto'!AG35</f>
        <v/>
      </c>
      <c r="L32" s="12">
        <f>'Septiembre'!AG35</f>
        <v/>
      </c>
      <c r="M32" s="12">
        <f>'Octubre'!AG35</f>
        <v/>
      </c>
      <c r="N32" s="12">
        <f>'Noviembre'!AG35</f>
        <v/>
      </c>
      <c r="O32" s="12">
        <f>'Diciembre'!AG35</f>
        <v/>
      </c>
      <c r="P32" s="13">
        <f>IF(A32="","",SUM(D32:O32))</f>
        <v/>
      </c>
      <c r="Q32" s="13">
        <f>IF(A32="","",N(B32)+N(C32)-SUM(D32:O32))</f>
        <v/>
      </c>
      <c r="R32" s="13">
        <f>IF(A32="","",'Enero'!AH35+'Febrero'!AH35+'Marzo'!AH35+'Abril'!AH35+'Mayo'!AH35+'Junio'!AH35+'Julio'!AH35+'Agosto'!AH35+'Septiembre'!AH35+'Octubre'!AH35+'Noviembre'!AH35+'Diciembre'!AH35)</f>
        <v/>
      </c>
    </row>
    <row r="33">
      <c r="A33" s="10" t="n"/>
      <c r="B33" s="11" t="n"/>
      <c r="C33" s="11" t="n"/>
      <c r="D33" s="12">
        <f>'Enero'!AG36</f>
        <v/>
      </c>
      <c r="E33" s="12">
        <f>'Febrero'!AG36</f>
        <v/>
      </c>
      <c r="F33" s="12">
        <f>'Marzo'!AG36</f>
        <v/>
      </c>
      <c r="G33" s="12">
        <f>'Abril'!AG36</f>
        <v/>
      </c>
      <c r="H33" s="12">
        <f>'Mayo'!AG36</f>
        <v/>
      </c>
      <c r="I33" s="12">
        <f>'Junio'!AG36</f>
        <v/>
      </c>
      <c r="J33" s="12">
        <f>'Julio'!AG36</f>
        <v/>
      </c>
      <c r="K33" s="12">
        <f>'Agosto'!AG36</f>
        <v/>
      </c>
      <c r="L33" s="12">
        <f>'Septiembre'!AG36</f>
        <v/>
      </c>
      <c r="M33" s="12">
        <f>'Octubre'!AG36</f>
        <v/>
      </c>
      <c r="N33" s="12">
        <f>'Noviembre'!AG36</f>
        <v/>
      </c>
      <c r="O33" s="12">
        <f>'Diciembre'!AG36</f>
        <v/>
      </c>
      <c r="P33" s="13">
        <f>IF(A33="","",SUM(D33:O33))</f>
        <v/>
      </c>
      <c r="Q33" s="13">
        <f>IF(A33="","",N(B33)+N(C33)-SUM(D33:O33))</f>
        <v/>
      </c>
      <c r="R33" s="13">
        <f>IF(A33="","",'Enero'!AH36+'Febrero'!AH36+'Marzo'!AH36+'Abril'!AH36+'Mayo'!AH36+'Junio'!AH36+'Julio'!AH36+'Agosto'!AH36+'Septiembre'!AH36+'Octubre'!AH36+'Noviembre'!AH36+'Diciembre'!AH36)</f>
        <v/>
      </c>
    </row>
    <row r="34">
      <c r="A34" s="10" t="n"/>
      <c r="B34" s="11" t="n"/>
      <c r="C34" s="11" t="n"/>
      <c r="D34" s="12">
        <f>'Enero'!AG37</f>
        <v/>
      </c>
      <c r="E34" s="12">
        <f>'Febrero'!AG37</f>
        <v/>
      </c>
      <c r="F34" s="12">
        <f>'Marzo'!AG37</f>
        <v/>
      </c>
      <c r="G34" s="12">
        <f>'Abril'!AG37</f>
        <v/>
      </c>
      <c r="H34" s="12">
        <f>'Mayo'!AG37</f>
        <v/>
      </c>
      <c r="I34" s="12">
        <f>'Junio'!AG37</f>
        <v/>
      </c>
      <c r="J34" s="12">
        <f>'Julio'!AG37</f>
        <v/>
      </c>
      <c r="K34" s="12">
        <f>'Agosto'!AG37</f>
        <v/>
      </c>
      <c r="L34" s="12">
        <f>'Septiembre'!AG37</f>
        <v/>
      </c>
      <c r="M34" s="12">
        <f>'Octubre'!AG37</f>
        <v/>
      </c>
      <c r="N34" s="12">
        <f>'Noviembre'!AG37</f>
        <v/>
      </c>
      <c r="O34" s="12">
        <f>'Diciembre'!AG37</f>
        <v/>
      </c>
      <c r="P34" s="13">
        <f>IF(A34="","",SUM(D34:O34))</f>
        <v/>
      </c>
      <c r="Q34" s="13">
        <f>IF(A34="","",N(B34)+N(C34)-SUM(D34:O34))</f>
        <v/>
      </c>
      <c r="R34" s="13">
        <f>IF(A34="","",'Enero'!AH37+'Febrero'!AH37+'Marzo'!AH37+'Abril'!AH37+'Mayo'!AH37+'Junio'!AH37+'Julio'!AH37+'Agosto'!AH37+'Septiembre'!AH37+'Octubre'!AH37+'Noviembre'!AH37+'Diciembre'!AH37)</f>
        <v/>
      </c>
    </row>
    <row r="35">
      <c r="A35" s="10" t="n"/>
      <c r="B35" s="11" t="n"/>
      <c r="C35" s="11" t="n"/>
      <c r="D35" s="12">
        <f>'Enero'!AG38</f>
        <v/>
      </c>
      <c r="E35" s="12">
        <f>'Febrero'!AG38</f>
        <v/>
      </c>
      <c r="F35" s="12">
        <f>'Marzo'!AG38</f>
        <v/>
      </c>
      <c r="G35" s="12">
        <f>'Abril'!AG38</f>
        <v/>
      </c>
      <c r="H35" s="12">
        <f>'Mayo'!AG38</f>
        <v/>
      </c>
      <c r="I35" s="12">
        <f>'Junio'!AG38</f>
        <v/>
      </c>
      <c r="J35" s="12">
        <f>'Julio'!AG38</f>
        <v/>
      </c>
      <c r="K35" s="12">
        <f>'Agosto'!AG38</f>
        <v/>
      </c>
      <c r="L35" s="12">
        <f>'Septiembre'!AG38</f>
        <v/>
      </c>
      <c r="M35" s="12">
        <f>'Octubre'!AG38</f>
        <v/>
      </c>
      <c r="N35" s="12">
        <f>'Noviembre'!AG38</f>
        <v/>
      </c>
      <c r="O35" s="12">
        <f>'Diciembre'!AG38</f>
        <v/>
      </c>
      <c r="P35" s="13">
        <f>IF(A35="","",SUM(D35:O35))</f>
        <v/>
      </c>
      <c r="Q35" s="13">
        <f>IF(A35="","",N(B35)+N(C35)-SUM(D35:O35))</f>
        <v/>
      </c>
      <c r="R35" s="13">
        <f>IF(A35="","",'Enero'!AH38+'Febrero'!AH38+'Marzo'!AH38+'Abril'!AH38+'Mayo'!AH38+'Junio'!AH38+'Julio'!AH38+'Agosto'!AH38+'Septiembre'!AH38+'Octubre'!AH38+'Noviembre'!AH38+'Diciembre'!AH38)</f>
        <v/>
      </c>
    </row>
    <row r="36">
      <c r="A36" s="10" t="n"/>
      <c r="B36" s="11" t="n"/>
      <c r="C36" s="11" t="n"/>
      <c r="D36" s="12">
        <f>'Enero'!AG39</f>
        <v/>
      </c>
      <c r="E36" s="12">
        <f>'Febrero'!AG39</f>
        <v/>
      </c>
      <c r="F36" s="12">
        <f>'Marzo'!AG39</f>
        <v/>
      </c>
      <c r="G36" s="12">
        <f>'Abril'!AG39</f>
        <v/>
      </c>
      <c r="H36" s="12">
        <f>'Mayo'!AG39</f>
        <v/>
      </c>
      <c r="I36" s="12">
        <f>'Junio'!AG39</f>
        <v/>
      </c>
      <c r="J36" s="12">
        <f>'Julio'!AG39</f>
        <v/>
      </c>
      <c r="K36" s="12">
        <f>'Agosto'!AG39</f>
        <v/>
      </c>
      <c r="L36" s="12">
        <f>'Septiembre'!AG39</f>
        <v/>
      </c>
      <c r="M36" s="12">
        <f>'Octubre'!AG39</f>
        <v/>
      </c>
      <c r="N36" s="12">
        <f>'Noviembre'!AG39</f>
        <v/>
      </c>
      <c r="O36" s="12">
        <f>'Diciembre'!AG39</f>
        <v/>
      </c>
      <c r="P36" s="13">
        <f>IF(A36="","",SUM(D36:O36))</f>
        <v/>
      </c>
      <c r="Q36" s="13">
        <f>IF(A36="","",N(B36)+N(C36)-SUM(D36:O36))</f>
        <v/>
      </c>
      <c r="R36" s="13">
        <f>IF(A36="","",'Enero'!AH39+'Febrero'!AH39+'Marzo'!AH39+'Abril'!AH39+'Mayo'!AH39+'Junio'!AH39+'Julio'!AH39+'Agosto'!AH39+'Septiembre'!AH39+'Octubre'!AH39+'Noviembre'!AH39+'Diciembre'!AH39)</f>
        <v/>
      </c>
    </row>
    <row r="37">
      <c r="A37" s="10" t="n"/>
      <c r="B37" s="11" t="n"/>
      <c r="C37" s="11" t="n"/>
      <c r="D37" s="12">
        <f>'Enero'!AG40</f>
        <v/>
      </c>
      <c r="E37" s="12">
        <f>'Febrero'!AG40</f>
        <v/>
      </c>
      <c r="F37" s="12">
        <f>'Marzo'!AG40</f>
        <v/>
      </c>
      <c r="G37" s="12">
        <f>'Abril'!AG40</f>
        <v/>
      </c>
      <c r="H37" s="12">
        <f>'Mayo'!AG40</f>
        <v/>
      </c>
      <c r="I37" s="12">
        <f>'Junio'!AG40</f>
        <v/>
      </c>
      <c r="J37" s="12">
        <f>'Julio'!AG40</f>
        <v/>
      </c>
      <c r="K37" s="12">
        <f>'Agosto'!AG40</f>
        <v/>
      </c>
      <c r="L37" s="12">
        <f>'Septiembre'!AG40</f>
        <v/>
      </c>
      <c r="M37" s="12">
        <f>'Octubre'!AG40</f>
        <v/>
      </c>
      <c r="N37" s="12">
        <f>'Noviembre'!AG40</f>
        <v/>
      </c>
      <c r="O37" s="12">
        <f>'Diciembre'!AG40</f>
        <v/>
      </c>
      <c r="P37" s="13">
        <f>IF(A37="","",SUM(D37:O37))</f>
        <v/>
      </c>
      <c r="Q37" s="13">
        <f>IF(A37="","",N(B37)+N(C37)-SUM(D37:O37))</f>
        <v/>
      </c>
      <c r="R37" s="13">
        <f>IF(A37="","",'Enero'!AH40+'Febrero'!AH40+'Marzo'!AH40+'Abril'!AH40+'Mayo'!AH40+'Junio'!AH40+'Julio'!AH40+'Agosto'!AH40+'Septiembre'!AH40+'Octubre'!AH40+'Noviembre'!AH40+'Diciembre'!AH40)</f>
        <v/>
      </c>
    </row>
    <row r="38">
      <c r="A38" s="10" t="n"/>
      <c r="B38" s="11" t="n"/>
      <c r="C38" s="11" t="n"/>
      <c r="D38" s="12">
        <f>'Enero'!AG41</f>
        <v/>
      </c>
      <c r="E38" s="12">
        <f>'Febrero'!AG41</f>
        <v/>
      </c>
      <c r="F38" s="12">
        <f>'Marzo'!AG41</f>
        <v/>
      </c>
      <c r="G38" s="12">
        <f>'Abril'!AG41</f>
        <v/>
      </c>
      <c r="H38" s="12">
        <f>'Mayo'!AG41</f>
        <v/>
      </c>
      <c r="I38" s="12">
        <f>'Junio'!AG41</f>
        <v/>
      </c>
      <c r="J38" s="12">
        <f>'Julio'!AG41</f>
        <v/>
      </c>
      <c r="K38" s="12">
        <f>'Agosto'!AG41</f>
        <v/>
      </c>
      <c r="L38" s="12">
        <f>'Septiembre'!AG41</f>
        <v/>
      </c>
      <c r="M38" s="12">
        <f>'Octubre'!AG41</f>
        <v/>
      </c>
      <c r="N38" s="12">
        <f>'Noviembre'!AG41</f>
        <v/>
      </c>
      <c r="O38" s="12">
        <f>'Diciembre'!AG41</f>
        <v/>
      </c>
      <c r="P38" s="13">
        <f>IF(A38="","",SUM(D38:O38))</f>
        <v/>
      </c>
      <c r="Q38" s="13">
        <f>IF(A38="","",N(B38)+N(C38)-SUM(D38:O38))</f>
        <v/>
      </c>
      <c r="R38" s="13">
        <f>IF(A38="","",'Enero'!AH41+'Febrero'!AH41+'Marzo'!AH41+'Abril'!AH41+'Mayo'!AH41+'Junio'!AH41+'Julio'!AH41+'Agosto'!AH41+'Septiembre'!AH41+'Octubre'!AH41+'Noviembre'!AH41+'Diciembre'!AH41)</f>
        <v/>
      </c>
    </row>
    <row r="39">
      <c r="A39" s="10" t="n"/>
      <c r="B39" s="11" t="n"/>
      <c r="C39" s="11" t="n"/>
      <c r="D39" s="12">
        <f>'Enero'!AG42</f>
        <v/>
      </c>
      <c r="E39" s="12">
        <f>'Febrero'!AG42</f>
        <v/>
      </c>
      <c r="F39" s="12">
        <f>'Marzo'!AG42</f>
        <v/>
      </c>
      <c r="G39" s="12">
        <f>'Abril'!AG42</f>
        <v/>
      </c>
      <c r="H39" s="12">
        <f>'Mayo'!AG42</f>
        <v/>
      </c>
      <c r="I39" s="12">
        <f>'Junio'!AG42</f>
        <v/>
      </c>
      <c r="J39" s="12">
        <f>'Julio'!AG42</f>
        <v/>
      </c>
      <c r="K39" s="12">
        <f>'Agosto'!AG42</f>
        <v/>
      </c>
      <c r="L39" s="12">
        <f>'Septiembre'!AG42</f>
        <v/>
      </c>
      <c r="M39" s="12">
        <f>'Octubre'!AG42</f>
        <v/>
      </c>
      <c r="N39" s="12">
        <f>'Noviembre'!AG42</f>
        <v/>
      </c>
      <c r="O39" s="12">
        <f>'Diciembre'!AG42</f>
        <v/>
      </c>
      <c r="P39" s="13">
        <f>IF(A39="","",SUM(D39:O39))</f>
        <v/>
      </c>
      <c r="Q39" s="13">
        <f>IF(A39="","",N(B39)+N(C39)-SUM(D39:O39))</f>
        <v/>
      </c>
      <c r="R39" s="13">
        <f>IF(A39="","",'Enero'!AH42+'Febrero'!AH42+'Marzo'!AH42+'Abril'!AH42+'Mayo'!AH42+'Junio'!AH42+'Julio'!AH42+'Agosto'!AH42+'Septiembre'!AH42+'Octubre'!AH42+'Noviembre'!AH42+'Diciembre'!AH42)</f>
        <v/>
      </c>
    </row>
    <row r="40">
      <c r="A40" s="10" t="n"/>
      <c r="B40" s="11" t="n"/>
      <c r="C40" s="11" t="n"/>
      <c r="D40" s="12">
        <f>'Enero'!AG43</f>
        <v/>
      </c>
      <c r="E40" s="12">
        <f>'Febrero'!AG43</f>
        <v/>
      </c>
      <c r="F40" s="12">
        <f>'Marzo'!AG43</f>
        <v/>
      </c>
      <c r="G40" s="12">
        <f>'Abril'!AG43</f>
        <v/>
      </c>
      <c r="H40" s="12">
        <f>'Mayo'!AG43</f>
        <v/>
      </c>
      <c r="I40" s="12">
        <f>'Junio'!AG43</f>
        <v/>
      </c>
      <c r="J40" s="12">
        <f>'Julio'!AG43</f>
        <v/>
      </c>
      <c r="K40" s="12">
        <f>'Agosto'!AG43</f>
        <v/>
      </c>
      <c r="L40" s="12">
        <f>'Septiembre'!AG43</f>
        <v/>
      </c>
      <c r="M40" s="12">
        <f>'Octubre'!AG43</f>
        <v/>
      </c>
      <c r="N40" s="12">
        <f>'Noviembre'!AG43</f>
        <v/>
      </c>
      <c r="O40" s="12">
        <f>'Diciembre'!AG43</f>
        <v/>
      </c>
      <c r="P40" s="13">
        <f>IF(A40="","",SUM(D40:O40))</f>
        <v/>
      </c>
      <c r="Q40" s="13">
        <f>IF(A40="","",N(B40)+N(C40)-SUM(D40:O40))</f>
        <v/>
      </c>
      <c r="R40" s="13">
        <f>IF(A40="","",'Enero'!AH43+'Febrero'!AH43+'Marzo'!AH43+'Abril'!AH43+'Mayo'!AH43+'Junio'!AH43+'Julio'!AH43+'Agosto'!AH43+'Septiembre'!AH43+'Octubre'!AH43+'Noviembre'!AH43+'Diciembre'!AH43)</f>
        <v/>
      </c>
    </row>
    <row r="41">
      <c r="A41" s="10" t="n"/>
      <c r="B41" s="11" t="n"/>
      <c r="C41" s="11" t="n"/>
      <c r="D41" s="12">
        <f>'Enero'!AG44</f>
        <v/>
      </c>
      <c r="E41" s="12">
        <f>'Febrero'!AG44</f>
        <v/>
      </c>
      <c r="F41" s="12">
        <f>'Marzo'!AG44</f>
        <v/>
      </c>
      <c r="G41" s="12">
        <f>'Abril'!AG44</f>
        <v/>
      </c>
      <c r="H41" s="12">
        <f>'Mayo'!AG44</f>
        <v/>
      </c>
      <c r="I41" s="12">
        <f>'Junio'!AG44</f>
        <v/>
      </c>
      <c r="J41" s="12">
        <f>'Julio'!AG44</f>
        <v/>
      </c>
      <c r="K41" s="12">
        <f>'Agosto'!AG44</f>
        <v/>
      </c>
      <c r="L41" s="12">
        <f>'Septiembre'!AG44</f>
        <v/>
      </c>
      <c r="M41" s="12">
        <f>'Octubre'!AG44</f>
        <v/>
      </c>
      <c r="N41" s="12">
        <f>'Noviembre'!AG44</f>
        <v/>
      </c>
      <c r="O41" s="12">
        <f>'Diciembre'!AG44</f>
        <v/>
      </c>
      <c r="P41" s="13">
        <f>IF(A41="","",SUM(D41:O41))</f>
        <v/>
      </c>
      <c r="Q41" s="13">
        <f>IF(A41="","",N(B41)+N(C41)-SUM(D41:O41))</f>
        <v/>
      </c>
      <c r="R41" s="13">
        <f>IF(A41="","",'Enero'!AH44+'Febrero'!AH44+'Marzo'!AH44+'Abril'!AH44+'Mayo'!AH44+'Junio'!AH44+'Julio'!AH44+'Agosto'!AH44+'Septiembre'!AH44+'Octubre'!AH44+'Noviembre'!AH44+'Diciembre'!AH44)</f>
        <v/>
      </c>
    </row>
    <row r="42">
      <c r="A42" s="10" t="n"/>
      <c r="B42" s="11" t="n"/>
      <c r="C42" s="11" t="n"/>
      <c r="D42" s="12">
        <f>'Enero'!AG45</f>
        <v/>
      </c>
      <c r="E42" s="12">
        <f>'Febrero'!AG45</f>
        <v/>
      </c>
      <c r="F42" s="12">
        <f>'Marzo'!AG45</f>
        <v/>
      </c>
      <c r="G42" s="12">
        <f>'Abril'!AG45</f>
        <v/>
      </c>
      <c r="H42" s="12">
        <f>'Mayo'!AG45</f>
        <v/>
      </c>
      <c r="I42" s="12">
        <f>'Junio'!AG45</f>
        <v/>
      </c>
      <c r="J42" s="12">
        <f>'Julio'!AG45</f>
        <v/>
      </c>
      <c r="K42" s="12">
        <f>'Agosto'!AG45</f>
        <v/>
      </c>
      <c r="L42" s="12">
        <f>'Septiembre'!AG45</f>
        <v/>
      </c>
      <c r="M42" s="12">
        <f>'Octubre'!AG45</f>
        <v/>
      </c>
      <c r="N42" s="12">
        <f>'Noviembre'!AG45</f>
        <v/>
      </c>
      <c r="O42" s="12">
        <f>'Diciembre'!AG45</f>
        <v/>
      </c>
      <c r="P42" s="13">
        <f>IF(A42="","",SUM(D42:O42))</f>
        <v/>
      </c>
      <c r="Q42" s="13">
        <f>IF(A42="","",N(B42)+N(C42)-SUM(D42:O42))</f>
        <v/>
      </c>
      <c r="R42" s="13">
        <f>IF(A42="","",'Enero'!AH45+'Febrero'!AH45+'Marzo'!AH45+'Abril'!AH45+'Mayo'!AH45+'Junio'!AH45+'Julio'!AH45+'Agosto'!AH45+'Septiembre'!AH45+'Octubre'!AH45+'Noviembre'!AH45+'Diciembre'!AH45)</f>
        <v/>
      </c>
    </row>
    <row r="43">
      <c r="A43" s="10" t="n"/>
      <c r="B43" s="11" t="n"/>
      <c r="C43" s="11" t="n"/>
      <c r="D43" s="12">
        <f>'Enero'!AG46</f>
        <v/>
      </c>
      <c r="E43" s="12">
        <f>'Febrero'!AG46</f>
        <v/>
      </c>
      <c r="F43" s="12">
        <f>'Marzo'!AG46</f>
        <v/>
      </c>
      <c r="G43" s="12">
        <f>'Abril'!AG46</f>
        <v/>
      </c>
      <c r="H43" s="12">
        <f>'Mayo'!AG46</f>
        <v/>
      </c>
      <c r="I43" s="12">
        <f>'Junio'!AG46</f>
        <v/>
      </c>
      <c r="J43" s="12">
        <f>'Julio'!AG46</f>
        <v/>
      </c>
      <c r="K43" s="12">
        <f>'Agosto'!AG46</f>
        <v/>
      </c>
      <c r="L43" s="12">
        <f>'Septiembre'!AG46</f>
        <v/>
      </c>
      <c r="M43" s="12">
        <f>'Octubre'!AG46</f>
        <v/>
      </c>
      <c r="N43" s="12">
        <f>'Noviembre'!AG46</f>
        <v/>
      </c>
      <c r="O43" s="12">
        <f>'Diciembre'!AG46</f>
        <v/>
      </c>
      <c r="P43" s="13">
        <f>IF(A43="","",SUM(D43:O43))</f>
        <v/>
      </c>
      <c r="Q43" s="13">
        <f>IF(A43="","",N(B43)+N(C43)-SUM(D43:O43))</f>
        <v/>
      </c>
      <c r="R43" s="13">
        <f>IF(A43="","",'Enero'!AH46+'Febrero'!AH46+'Marzo'!AH46+'Abril'!AH46+'Mayo'!AH46+'Junio'!AH46+'Julio'!AH46+'Agosto'!AH46+'Septiembre'!AH46+'Octubre'!AH46+'Noviembre'!AH46+'Diciembre'!AH46)</f>
        <v/>
      </c>
    </row>
    <row r="44">
      <c r="A44" s="10" t="n"/>
      <c r="B44" s="11" t="n"/>
      <c r="C44" s="11" t="n"/>
      <c r="D44" s="12">
        <f>'Enero'!AG47</f>
        <v/>
      </c>
      <c r="E44" s="12">
        <f>'Febrero'!AG47</f>
        <v/>
      </c>
      <c r="F44" s="12">
        <f>'Marzo'!AG47</f>
        <v/>
      </c>
      <c r="G44" s="12">
        <f>'Abril'!AG47</f>
        <v/>
      </c>
      <c r="H44" s="12">
        <f>'Mayo'!AG47</f>
        <v/>
      </c>
      <c r="I44" s="12">
        <f>'Junio'!AG47</f>
        <v/>
      </c>
      <c r="J44" s="12">
        <f>'Julio'!AG47</f>
        <v/>
      </c>
      <c r="K44" s="12">
        <f>'Agosto'!AG47</f>
        <v/>
      </c>
      <c r="L44" s="12">
        <f>'Septiembre'!AG47</f>
        <v/>
      </c>
      <c r="M44" s="12">
        <f>'Octubre'!AG47</f>
        <v/>
      </c>
      <c r="N44" s="12">
        <f>'Noviembre'!AG47</f>
        <v/>
      </c>
      <c r="O44" s="12">
        <f>'Diciembre'!AG47</f>
        <v/>
      </c>
      <c r="P44" s="13">
        <f>IF(A44="","",SUM(D44:O44))</f>
        <v/>
      </c>
      <c r="Q44" s="13">
        <f>IF(A44="","",N(B44)+N(C44)-SUM(D44:O44))</f>
        <v/>
      </c>
      <c r="R44" s="13">
        <f>IF(A44="","",'Enero'!AH47+'Febrero'!AH47+'Marzo'!AH47+'Abril'!AH47+'Mayo'!AH47+'Junio'!AH47+'Julio'!AH47+'Agosto'!AH47+'Septiembre'!AH47+'Octubre'!AH47+'Noviembre'!AH47+'Diciembre'!AH47)</f>
        <v/>
      </c>
    </row>
    <row r="45">
      <c r="A45" s="10" t="n"/>
      <c r="B45" s="11" t="n"/>
      <c r="C45" s="11" t="n"/>
      <c r="D45" s="12">
        <f>'Enero'!AG48</f>
        <v/>
      </c>
      <c r="E45" s="12">
        <f>'Febrero'!AG48</f>
        <v/>
      </c>
      <c r="F45" s="12">
        <f>'Marzo'!AG48</f>
        <v/>
      </c>
      <c r="G45" s="12">
        <f>'Abril'!AG48</f>
        <v/>
      </c>
      <c r="H45" s="12">
        <f>'Mayo'!AG48</f>
        <v/>
      </c>
      <c r="I45" s="12">
        <f>'Junio'!AG48</f>
        <v/>
      </c>
      <c r="J45" s="12">
        <f>'Julio'!AG48</f>
        <v/>
      </c>
      <c r="K45" s="12">
        <f>'Agosto'!AG48</f>
        <v/>
      </c>
      <c r="L45" s="12">
        <f>'Septiembre'!AG48</f>
        <v/>
      </c>
      <c r="M45" s="12">
        <f>'Octubre'!AG48</f>
        <v/>
      </c>
      <c r="N45" s="12">
        <f>'Noviembre'!AG48</f>
        <v/>
      </c>
      <c r="O45" s="12">
        <f>'Diciembre'!AG48</f>
        <v/>
      </c>
      <c r="P45" s="13">
        <f>IF(A45="","",SUM(D45:O45))</f>
        <v/>
      </c>
      <c r="Q45" s="13">
        <f>IF(A45="","",N(B45)+N(C45)-SUM(D45:O45))</f>
        <v/>
      </c>
      <c r="R45" s="13">
        <f>IF(A45="","",'Enero'!AH48+'Febrero'!AH48+'Marzo'!AH48+'Abril'!AH48+'Mayo'!AH48+'Junio'!AH48+'Julio'!AH48+'Agosto'!AH48+'Septiembre'!AH48+'Octubre'!AH48+'Noviembre'!AH48+'Diciembre'!AH48)</f>
        <v/>
      </c>
    </row>
  </sheetData>
  <mergeCells count="1">
    <mergeCell ref="E2:H2"/>
  </mergeCells>
  <conditionalFormatting sqref="Q6:Q45">
    <cfRule type="expression" priority="1" dxfId="0">
      <formula>AND(ISNUMBER(Q6),Q6&lt;0)</formula>
    </cfRule>
  </conditionalFormatting>
  <dataValidations count="3">
    <dataValidation sqref="E2" showDropDown="0" showInputMessage="0" showErrorMessage="1" allowBlank="0" errorTitle="Comunidad" error="Elige una comunidad de la lista." type="list">
      <formula1>=Festivos!$H$5:$H$24</formula1>
    </dataValidation>
    <dataValidation sqref="B2" showDropDown="0" showInputMessage="0" showErrorMessage="1" allowBlank="0" errorTitle="Año" error="Escribe el año con cuatro cifras." type="whole" operator="between">
      <formula1>2020</formula1>
      <formula2>2100</formula2>
    </dataValidation>
    <dataValidation sqref="B6:C45" showDropDown="0" showInputMessage="0" showErrorMessage="1" allowBlank="0" errorTitle="Días" error="Escribe un número de días, por ejemplo 22 o 30." type="decimal" operator="between">
      <formula1>0</formula1>
      <formula2>366</formula2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"Enero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IF(1&lt;=DAY(EOMONTH(DATE(Resumen!$B$2,1,1),0)),1,"")</f>
        <v/>
      </c>
      <c r="C5" s="15">
        <f>IF(2&lt;=DAY(EOMONTH(DATE(Resumen!$B$2,1,1),0)),2,"")</f>
        <v/>
      </c>
      <c r="D5" s="15">
        <f>IF(3&lt;=DAY(EOMONTH(DATE(Resumen!$B$2,1,1),0)),3,"")</f>
        <v/>
      </c>
      <c r="E5" s="15">
        <f>IF(4&lt;=DAY(EOMONTH(DATE(Resumen!$B$2,1,1),0)),4,"")</f>
        <v/>
      </c>
      <c r="F5" s="15">
        <f>IF(5&lt;=DAY(EOMONTH(DATE(Resumen!$B$2,1,1),0)),5,"")</f>
        <v/>
      </c>
      <c r="G5" s="15">
        <f>IF(6&lt;=DAY(EOMONTH(DATE(Resumen!$B$2,1,1),0)),6,"")</f>
        <v/>
      </c>
      <c r="H5" s="15">
        <f>IF(7&lt;=DAY(EOMONTH(DATE(Resumen!$B$2,1,1),0)),7,"")</f>
        <v/>
      </c>
      <c r="I5" s="15">
        <f>IF(8&lt;=DAY(EOMONTH(DATE(Resumen!$B$2,1,1),0)),8,"")</f>
        <v/>
      </c>
      <c r="J5" s="15">
        <f>IF(9&lt;=DAY(EOMONTH(DATE(Resumen!$B$2,1,1),0)),9,"")</f>
        <v/>
      </c>
      <c r="K5" s="15">
        <f>IF(10&lt;=DAY(EOMONTH(DATE(Resumen!$B$2,1,1),0)),10,"")</f>
        <v/>
      </c>
      <c r="L5" s="15">
        <f>IF(11&lt;=DAY(EOMONTH(DATE(Resumen!$B$2,1,1),0)),11,"")</f>
        <v/>
      </c>
      <c r="M5" s="15">
        <f>IF(12&lt;=DAY(EOMONTH(DATE(Resumen!$B$2,1,1),0)),12,"")</f>
        <v/>
      </c>
      <c r="N5" s="15">
        <f>IF(13&lt;=DAY(EOMONTH(DATE(Resumen!$B$2,1,1),0)),13,"")</f>
        <v/>
      </c>
      <c r="O5" s="15">
        <f>IF(14&lt;=DAY(EOMONTH(DATE(Resumen!$B$2,1,1),0)),14,"")</f>
        <v/>
      </c>
      <c r="P5" s="15">
        <f>IF(15&lt;=DAY(EOMONTH(DATE(Resumen!$B$2,1,1),0)),15,"")</f>
        <v/>
      </c>
      <c r="Q5" s="15">
        <f>IF(16&lt;=DAY(EOMONTH(DATE(Resumen!$B$2,1,1),0)),16,"")</f>
        <v/>
      </c>
      <c r="R5" s="15">
        <f>IF(17&lt;=DAY(EOMONTH(DATE(Resumen!$B$2,1,1),0)),17,"")</f>
        <v/>
      </c>
      <c r="S5" s="15">
        <f>IF(18&lt;=DAY(EOMONTH(DATE(Resumen!$B$2,1,1),0)),18,"")</f>
        <v/>
      </c>
      <c r="T5" s="15">
        <f>IF(19&lt;=DAY(EOMONTH(DATE(Resumen!$B$2,1,1),0)),19,"")</f>
        <v/>
      </c>
      <c r="U5" s="15">
        <f>IF(20&lt;=DAY(EOMONTH(DATE(Resumen!$B$2,1,1),0)),20,"")</f>
        <v/>
      </c>
      <c r="V5" s="15">
        <f>IF(21&lt;=DAY(EOMONTH(DATE(Resumen!$B$2,1,1),0)),21,"")</f>
        <v/>
      </c>
      <c r="W5" s="15">
        <f>IF(22&lt;=DAY(EOMONTH(DATE(Resumen!$B$2,1,1),0)),22,"")</f>
        <v/>
      </c>
      <c r="X5" s="15">
        <f>IF(23&lt;=DAY(EOMONTH(DATE(Resumen!$B$2,1,1),0)),23,"")</f>
        <v/>
      </c>
      <c r="Y5" s="15">
        <f>IF(24&lt;=DAY(EOMONTH(DATE(Resumen!$B$2,1,1),0)),24,"")</f>
        <v/>
      </c>
      <c r="Z5" s="15">
        <f>IF(25&lt;=DAY(EOMONTH(DATE(Resumen!$B$2,1,1),0)),25,"")</f>
        <v/>
      </c>
      <c r="AA5" s="15">
        <f>IF(26&lt;=DAY(EOMONTH(DATE(Resumen!$B$2,1,1),0)),26,"")</f>
        <v/>
      </c>
      <c r="AB5" s="15">
        <f>IF(27&lt;=DAY(EOMONTH(DATE(Resumen!$B$2,1,1),0)),27,"")</f>
        <v/>
      </c>
      <c r="AC5" s="15">
        <f>IF(28&lt;=DAY(EOMONTH(DATE(Resumen!$B$2,1,1),0)),28,"")</f>
        <v/>
      </c>
      <c r="AD5" s="15">
        <f>IF(29&lt;=DAY(EOMONTH(DATE(Resumen!$B$2,1,1),0)),29,"")</f>
        <v/>
      </c>
      <c r="AE5" s="15">
        <f>IF(30&lt;=DAY(EOMONTH(DATE(Resumen!$B$2,1,1),0)),30,"")</f>
        <v/>
      </c>
      <c r="AF5" s="15">
        <f>IF(31&lt;=DAY(EOMONTH(DATE(Resumen!$B$2,1,1),0)),31,"")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IF(B$5="","",MID("LMXJVSD",WEEKDAY(DATE(Resumen!$B$2,1,B$5),2),1))</f>
        <v/>
      </c>
      <c r="C6" s="15">
        <f>IF(C$5="","",MID("LMXJVSD",WEEKDAY(DATE(Resumen!$B$2,1,C$5),2),1))</f>
        <v/>
      </c>
      <c r="D6" s="15">
        <f>IF(D$5="","",MID("LMXJVSD",WEEKDAY(DATE(Resumen!$B$2,1,D$5),2),1))</f>
        <v/>
      </c>
      <c r="E6" s="15">
        <f>IF(E$5="","",MID("LMXJVSD",WEEKDAY(DATE(Resumen!$B$2,1,E$5),2),1))</f>
        <v/>
      </c>
      <c r="F6" s="15">
        <f>IF(F$5="","",MID("LMXJVSD",WEEKDAY(DATE(Resumen!$B$2,1,F$5),2),1))</f>
        <v/>
      </c>
      <c r="G6" s="15">
        <f>IF(G$5="","",MID("LMXJVSD",WEEKDAY(DATE(Resumen!$B$2,1,G$5),2),1))</f>
        <v/>
      </c>
      <c r="H6" s="15">
        <f>IF(H$5="","",MID("LMXJVSD",WEEKDAY(DATE(Resumen!$B$2,1,H$5),2),1))</f>
        <v/>
      </c>
      <c r="I6" s="15">
        <f>IF(I$5="","",MID("LMXJVSD",WEEKDAY(DATE(Resumen!$B$2,1,I$5),2),1))</f>
        <v/>
      </c>
      <c r="J6" s="15">
        <f>IF(J$5="","",MID("LMXJVSD",WEEKDAY(DATE(Resumen!$B$2,1,J$5),2),1))</f>
        <v/>
      </c>
      <c r="K6" s="15">
        <f>IF(K$5="","",MID("LMXJVSD",WEEKDAY(DATE(Resumen!$B$2,1,K$5),2),1))</f>
        <v/>
      </c>
      <c r="L6" s="15">
        <f>IF(L$5="","",MID("LMXJVSD",WEEKDAY(DATE(Resumen!$B$2,1,L$5),2),1))</f>
        <v/>
      </c>
      <c r="M6" s="15">
        <f>IF(M$5="","",MID("LMXJVSD",WEEKDAY(DATE(Resumen!$B$2,1,M$5),2),1))</f>
        <v/>
      </c>
      <c r="N6" s="15">
        <f>IF(N$5="","",MID("LMXJVSD",WEEKDAY(DATE(Resumen!$B$2,1,N$5),2),1))</f>
        <v/>
      </c>
      <c r="O6" s="15">
        <f>IF(O$5="","",MID("LMXJVSD",WEEKDAY(DATE(Resumen!$B$2,1,O$5),2),1))</f>
        <v/>
      </c>
      <c r="P6" s="15">
        <f>IF(P$5="","",MID("LMXJVSD",WEEKDAY(DATE(Resumen!$B$2,1,P$5),2),1))</f>
        <v/>
      </c>
      <c r="Q6" s="15">
        <f>IF(Q$5="","",MID("LMXJVSD",WEEKDAY(DATE(Resumen!$B$2,1,Q$5),2),1))</f>
        <v/>
      </c>
      <c r="R6" s="15">
        <f>IF(R$5="","",MID("LMXJVSD",WEEKDAY(DATE(Resumen!$B$2,1,R$5),2),1))</f>
        <v/>
      </c>
      <c r="S6" s="15">
        <f>IF(S$5="","",MID("LMXJVSD",WEEKDAY(DATE(Resumen!$B$2,1,S$5),2),1))</f>
        <v/>
      </c>
      <c r="T6" s="15">
        <f>IF(T$5="","",MID("LMXJVSD",WEEKDAY(DATE(Resumen!$B$2,1,T$5),2),1))</f>
        <v/>
      </c>
      <c r="U6" s="15">
        <f>IF(U$5="","",MID("LMXJVSD",WEEKDAY(DATE(Resumen!$B$2,1,U$5),2),1))</f>
        <v/>
      </c>
      <c r="V6" s="15">
        <f>IF(V$5="","",MID("LMXJVSD",WEEKDAY(DATE(Resumen!$B$2,1,V$5),2),1))</f>
        <v/>
      </c>
      <c r="W6" s="15">
        <f>IF(W$5="","",MID("LMXJVSD",WEEKDAY(DATE(Resumen!$B$2,1,W$5),2),1))</f>
        <v/>
      </c>
      <c r="X6" s="15">
        <f>IF(X$5="","",MID("LMXJVSD",WEEKDAY(DATE(Resumen!$B$2,1,X$5),2),1))</f>
        <v/>
      </c>
      <c r="Y6" s="15">
        <f>IF(Y$5="","",MID("LMXJVSD",WEEKDAY(DATE(Resumen!$B$2,1,Y$5),2),1))</f>
        <v/>
      </c>
      <c r="Z6" s="15">
        <f>IF(Z$5="","",MID("LMXJVSD",WEEKDAY(DATE(Resumen!$B$2,1,Z$5),2),1))</f>
        <v/>
      </c>
      <c r="AA6" s="15">
        <f>IF(AA$5="","",MID("LMXJVSD",WEEKDAY(DATE(Resumen!$B$2,1,AA$5),2),1))</f>
        <v/>
      </c>
      <c r="AB6" s="15">
        <f>IF(AB$5="","",MID("LMXJVSD",WEEKDAY(DATE(Resumen!$B$2,1,AB$5),2),1))</f>
        <v/>
      </c>
      <c r="AC6" s="15">
        <f>IF(AC$5="","",MID("LMXJVSD",WEEKDAY(DATE(Resumen!$B$2,1,AC$5),2),1))</f>
        <v/>
      </c>
      <c r="AD6" s="15">
        <f>IF(AD$5="","",MID("LMXJVSD",WEEKDAY(DATE(Resumen!$B$2,1,AD$5),2),1))</f>
        <v/>
      </c>
      <c r="AE6" s="15">
        <f>IF(AE$5="","",MID("LMXJVSD",WEEKDAY(DATE(Resumen!$B$2,1,AE$5),2),1))</f>
        <v/>
      </c>
      <c r="AF6" s="15">
        <f>IF(AF$5="","",MID("LMXJVSD",WEEKDAY(DATE(Resumen!$B$2,1,AF$5),2),1))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IF(B$5="","",IF(COUNTIFS(Festivos!$A$5:$A$239,Resumen!$E$2,Festivos!$B$5:$B$239,DATE(Resumen!$B$2,1,B$5))+COUNTIF(Festivos!$E$5:$E$24,DATE(Resumen!$B$2,1,B$5))&gt;0,"F",""))</f>
        <v/>
      </c>
      <c r="C7" s="15">
        <f>IF(C$5="","",IF(COUNTIFS(Festivos!$A$5:$A$239,Resumen!$E$2,Festivos!$B$5:$B$239,DATE(Resumen!$B$2,1,C$5))+COUNTIF(Festivos!$E$5:$E$24,DATE(Resumen!$B$2,1,C$5))&gt;0,"F",""))</f>
        <v/>
      </c>
      <c r="D7" s="15">
        <f>IF(D$5="","",IF(COUNTIFS(Festivos!$A$5:$A$239,Resumen!$E$2,Festivos!$B$5:$B$239,DATE(Resumen!$B$2,1,D$5))+COUNTIF(Festivos!$E$5:$E$24,DATE(Resumen!$B$2,1,D$5))&gt;0,"F",""))</f>
        <v/>
      </c>
      <c r="E7" s="15">
        <f>IF(E$5="","",IF(COUNTIFS(Festivos!$A$5:$A$239,Resumen!$E$2,Festivos!$B$5:$B$239,DATE(Resumen!$B$2,1,E$5))+COUNTIF(Festivos!$E$5:$E$24,DATE(Resumen!$B$2,1,E$5))&gt;0,"F",""))</f>
        <v/>
      </c>
      <c r="F7" s="15">
        <f>IF(F$5="","",IF(COUNTIFS(Festivos!$A$5:$A$239,Resumen!$E$2,Festivos!$B$5:$B$239,DATE(Resumen!$B$2,1,F$5))+COUNTIF(Festivos!$E$5:$E$24,DATE(Resumen!$B$2,1,F$5))&gt;0,"F",""))</f>
        <v/>
      </c>
      <c r="G7" s="15">
        <f>IF(G$5="","",IF(COUNTIFS(Festivos!$A$5:$A$239,Resumen!$E$2,Festivos!$B$5:$B$239,DATE(Resumen!$B$2,1,G$5))+COUNTIF(Festivos!$E$5:$E$24,DATE(Resumen!$B$2,1,G$5))&gt;0,"F",""))</f>
        <v/>
      </c>
      <c r="H7" s="15">
        <f>IF(H$5="","",IF(COUNTIFS(Festivos!$A$5:$A$239,Resumen!$E$2,Festivos!$B$5:$B$239,DATE(Resumen!$B$2,1,H$5))+COUNTIF(Festivos!$E$5:$E$24,DATE(Resumen!$B$2,1,H$5))&gt;0,"F",""))</f>
        <v/>
      </c>
      <c r="I7" s="15">
        <f>IF(I$5="","",IF(COUNTIFS(Festivos!$A$5:$A$239,Resumen!$E$2,Festivos!$B$5:$B$239,DATE(Resumen!$B$2,1,I$5))+COUNTIF(Festivos!$E$5:$E$24,DATE(Resumen!$B$2,1,I$5))&gt;0,"F",""))</f>
        <v/>
      </c>
      <c r="J7" s="15">
        <f>IF(J$5="","",IF(COUNTIFS(Festivos!$A$5:$A$239,Resumen!$E$2,Festivos!$B$5:$B$239,DATE(Resumen!$B$2,1,J$5))+COUNTIF(Festivos!$E$5:$E$24,DATE(Resumen!$B$2,1,J$5))&gt;0,"F",""))</f>
        <v/>
      </c>
      <c r="K7" s="15">
        <f>IF(K$5="","",IF(COUNTIFS(Festivos!$A$5:$A$239,Resumen!$E$2,Festivos!$B$5:$B$239,DATE(Resumen!$B$2,1,K$5))+COUNTIF(Festivos!$E$5:$E$24,DATE(Resumen!$B$2,1,K$5))&gt;0,"F",""))</f>
        <v/>
      </c>
      <c r="L7" s="15">
        <f>IF(L$5="","",IF(COUNTIFS(Festivos!$A$5:$A$239,Resumen!$E$2,Festivos!$B$5:$B$239,DATE(Resumen!$B$2,1,L$5))+COUNTIF(Festivos!$E$5:$E$24,DATE(Resumen!$B$2,1,L$5))&gt;0,"F",""))</f>
        <v/>
      </c>
      <c r="M7" s="15">
        <f>IF(M$5="","",IF(COUNTIFS(Festivos!$A$5:$A$239,Resumen!$E$2,Festivos!$B$5:$B$239,DATE(Resumen!$B$2,1,M$5))+COUNTIF(Festivos!$E$5:$E$24,DATE(Resumen!$B$2,1,M$5))&gt;0,"F",""))</f>
        <v/>
      </c>
      <c r="N7" s="15">
        <f>IF(N$5="","",IF(COUNTIFS(Festivos!$A$5:$A$239,Resumen!$E$2,Festivos!$B$5:$B$239,DATE(Resumen!$B$2,1,N$5))+COUNTIF(Festivos!$E$5:$E$24,DATE(Resumen!$B$2,1,N$5))&gt;0,"F",""))</f>
        <v/>
      </c>
      <c r="O7" s="15">
        <f>IF(O$5="","",IF(COUNTIFS(Festivos!$A$5:$A$239,Resumen!$E$2,Festivos!$B$5:$B$239,DATE(Resumen!$B$2,1,O$5))+COUNTIF(Festivos!$E$5:$E$24,DATE(Resumen!$B$2,1,O$5))&gt;0,"F",""))</f>
        <v/>
      </c>
      <c r="P7" s="15">
        <f>IF(P$5="","",IF(COUNTIFS(Festivos!$A$5:$A$239,Resumen!$E$2,Festivos!$B$5:$B$239,DATE(Resumen!$B$2,1,P$5))+COUNTIF(Festivos!$E$5:$E$24,DATE(Resumen!$B$2,1,P$5))&gt;0,"F",""))</f>
        <v/>
      </c>
      <c r="Q7" s="15">
        <f>IF(Q$5="","",IF(COUNTIFS(Festivos!$A$5:$A$239,Resumen!$E$2,Festivos!$B$5:$B$239,DATE(Resumen!$B$2,1,Q$5))+COUNTIF(Festivos!$E$5:$E$24,DATE(Resumen!$B$2,1,Q$5))&gt;0,"F",""))</f>
        <v/>
      </c>
      <c r="R7" s="15">
        <f>IF(R$5="","",IF(COUNTIFS(Festivos!$A$5:$A$239,Resumen!$E$2,Festivos!$B$5:$B$239,DATE(Resumen!$B$2,1,R$5))+COUNTIF(Festivos!$E$5:$E$24,DATE(Resumen!$B$2,1,R$5))&gt;0,"F",""))</f>
        <v/>
      </c>
      <c r="S7" s="15">
        <f>IF(S$5="","",IF(COUNTIFS(Festivos!$A$5:$A$239,Resumen!$E$2,Festivos!$B$5:$B$239,DATE(Resumen!$B$2,1,S$5))+COUNTIF(Festivos!$E$5:$E$24,DATE(Resumen!$B$2,1,S$5))&gt;0,"F",""))</f>
        <v/>
      </c>
      <c r="T7" s="15">
        <f>IF(T$5="","",IF(COUNTIFS(Festivos!$A$5:$A$239,Resumen!$E$2,Festivos!$B$5:$B$239,DATE(Resumen!$B$2,1,T$5))+COUNTIF(Festivos!$E$5:$E$24,DATE(Resumen!$B$2,1,T$5))&gt;0,"F",""))</f>
        <v/>
      </c>
      <c r="U7" s="15">
        <f>IF(U$5="","",IF(COUNTIFS(Festivos!$A$5:$A$239,Resumen!$E$2,Festivos!$B$5:$B$239,DATE(Resumen!$B$2,1,U$5))+COUNTIF(Festivos!$E$5:$E$24,DATE(Resumen!$B$2,1,U$5))&gt;0,"F",""))</f>
        <v/>
      </c>
      <c r="V7" s="15">
        <f>IF(V$5="","",IF(COUNTIFS(Festivos!$A$5:$A$239,Resumen!$E$2,Festivos!$B$5:$B$239,DATE(Resumen!$B$2,1,V$5))+COUNTIF(Festivos!$E$5:$E$24,DATE(Resumen!$B$2,1,V$5))&gt;0,"F",""))</f>
        <v/>
      </c>
      <c r="W7" s="15">
        <f>IF(W$5="","",IF(COUNTIFS(Festivos!$A$5:$A$239,Resumen!$E$2,Festivos!$B$5:$B$239,DATE(Resumen!$B$2,1,W$5))+COUNTIF(Festivos!$E$5:$E$24,DATE(Resumen!$B$2,1,W$5))&gt;0,"F",""))</f>
        <v/>
      </c>
      <c r="X7" s="15">
        <f>IF(X$5="","",IF(COUNTIFS(Festivos!$A$5:$A$239,Resumen!$E$2,Festivos!$B$5:$B$239,DATE(Resumen!$B$2,1,X$5))+COUNTIF(Festivos!$E$5:$E$24,DATE(Resumen!$B$2,1,X$5))&gt;0,"F",""))</f>
        <v/>
      </c>
      <c r="Y7" s="15">
        <f>IF(Y$5="","",IF(COUNTIFS(Festivos!$A$5:$A$239,Resumen!$E$2,Festivos!$B$5:$B$239,DATE(Resumen!$B$2,1,Y$5))+COUNTIF(Festivos!$E$5:$E$24,DATE(Resumen!$B$2,1,Y$5))&gt;0,"F",""))</f>
        <v/>
      </c>
      <c r="Z7" s="15">
        <f>IF(Z$5="","",IF(COUNTIFS(Festivos!$A$5:$A$239,Resumen!$E$2,Festivos!$B$5:$B$239,DATE(Resumen!$B$2,1,Z$5))+COUNTIF(Festivos!$E$5:$E$24,DATE(Resumen!$B$2,1,Z$5))&gt;0,"F",""))</f>
        <v/>
      </c>
      <c r="AA7" s="15">
        <f>IF(AA$5="","",IF(COUNTIFS(Festivos!$A$5:$A$239,Resumen!$E$2,Festivos!$B$5:$B$239,DATE(Resumen!$B$2,1,AA$5))+COUNTIF(Festivos!$E$5:$E$24,DATE(Resumen!$B$2,1,AA$5))&gt;0,"F",""))</f>
        <v/>
      </c>
      <c r="AB7" s="15">
        <f>IF(AB$5="","",IF(COUNTIFS(Festivos!$A$5:$A$239,Resumen!$E$2,Festivos!$B$5:$B$239,DATE(Resumen!$B$2,1,AB$5))+COUNTIF(Festivos!$E$5:$E$24,DATE(Resumen!$B$2,1,AB$5))&gt;0,"F",""))</f>
        <v/>
      </c>
      <c r="AC7" s="15">
        <f>IF(AC$5="","",IF(COUNTIFS(Festivos!$A$5:$A$239,Resumen!$E$2,Festivos!$B$5:$B$239,DATE(Resumen!$B$2,1,AC$5))+COUNTIF(Festivos!$E$5:$E$24,DATE(Resumen!$B$2,1,AC$5))&gt;0,"F",""))</f>
        <v/>
      </c>
      <c r="AD7" s="15">
        <f>IF(AD$5="","",IF(COUNTIFS(Festivos!$A$5:$A$239,Resumen!$E$2,Festivos!$B$5:$B$239,DATE(Resumen!$B$2,1,AD$5))+COUNTIF(Festivos!$E$5:$E$24,DATE(Resumen!$B$2,1,AD$5))&gt;0,"F",""))</f>
        <v/>
      </c>
      <c r="AE7" s="15">
        <f>IF(AE$5="","",IF(COUNTIFS(Festivos!$A$5:$A$239,Resumen!$E$2,Festivos!$B$5:$B$239,DATE(Resumen!$B$2,1,AE$5))+COUNTIF(Festivos!$E$5:$E$24,DATE(Resumen!$B$2,1,AE$5))&gt;0,"F",""))</f>
        <v/>
      </c>
      <c r="AF7" s="15">
        <f>IF(AF$5="","",IF(COUNTIFS(Festivos!$A$5:$A$239,Resumen!$E$2,Festivos!$B$5:$B$239,DATE(Resumen!$B$2,1,AF$5))+COUNTIF(Festivos!$E$5:$E$24,DATE(Resumen!$B$2,1,AF$5))&gt;0,"F",""))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"Febrero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IF(1&lt;=DAY(EOMONTH(DATE(Resumen!$B$2,2,1),0)),1,"")</f>
        <v/>
      </c>
      <c r="C5" s="15">
        <f>IF(2&lt;=DAY(EOMONTH(DATE(Resumen!$B$2,2,1),0)),2,"")</f>
        <v/>
      </c>
      <c r="D5" s="15">
        <f>IF(3&lt;=DAY(EOMONTH(DATE(Resumen!$B$2,2,1),0)),3,"")</f>
        <v/>
      </c>
      <c r="E5" s="15">
        <f>IF(4&lt;=DAY(EOMONTH(DATE(Resumen!$B$2,2,1),0)),4,"")</f>
        <v/>
      </c>
      <c r="F5" s="15">
        <f>IF(5&lt;=DAY(EOMONTH(DATE(Resumen!$B$2,2,1),0)),5,"")</f>
        <v/>
      </c>
      <c r="G5" s="15">
        <f>IF(6&lt;=DAY(EOMONTH(DATE(Resumen!$B$2,2,1),0)),6,"")</f>
        <v/>
      </c>
      <c r="H5" s="15">
        <f>IF(7&lt;=DAY(EOMONTH(DATE(Resumen!$B$2,2,1),0)),7,"")</f>
        <v/>
      </c>
      <c r="I5" s="15">
        <f>IF(8&lt;=DAY(EOMONTH(DATE(Resumen!$B$2,2,1),0)),8,"")</f>
        <v/>
      </c>
      <c r="J5" s="15">
        <f>IF(9&lt;=DAY(EOMONTH(DATE(Resumen!$B$2,2,1),0)),9,"")</f>
        <v/>
      </c>
      <c r="K5" s="15">
        <f>IF(10&lt;=DAY(EOMONTH(DATE(Resumen!$B$2,2,1),0)),10,"")</f>
        <v/>
      </c>
      <c r="L5" s="15">
        <f>IF(11&lt;=DAY(EOMONTH(DATE(Resumen!$B$2,2,1),0)),11,"")</f>
        <v/>
      </c>
      <c r="M5" s="15">
        <f>IF(12&lt;=DAY(EOMONTH(DATE(Resumen!$B$2,2,1),0)),12,"")</f>
        <v/>
      </c>
      <c r="N5" s="15">
        <f>IF(13&lt;=DAY(EOMONTH(DATE(Resumen!$B$2,2,1),0)),13,"")</f>
        <v/>
      </c>
      <c r="O5" s="15">
        <f>IF(14&lt;=DAY(EOMONTH(DATE(Resumen!$B$2,2,1),0)),14,"")</f>
        <v/>
      </c>
      <c r="P5" s="15">
        <f>IF(15&lt;=DAY(EOMONTH(DATE(Resumen!$B$2,2,1),0)),15,"")</f>
        <v/>
      </c>
      <c r="Q5" s="15">
        <f>IF(16&lt;=DAY(EOMONTH(DATE(Resumen!$B$2,2,1),0)),16,"")</f>
        <v/>
      </c>
      <c r="R5" s="15">
        <f>IF(17&lt;=DAY(EOMONTH(DATE(Resumen!$B$2,2,1),0)),17,"")</f>
        <v/>
      </c>
      <c r="S5" s="15">
        <f>IF(18&lt;=DAY(EOMONTH(DATE(Resumen!$B$2,2,1),0)),18,"")</f>
        <v/>
      </c>
      <c r="T5" s="15">
        <f>IF(19&lt;=DAY(EOMONTH(DATE(Resumen!$B$2,2,1),0)),19,"")</f>
        <v/>
      </c>
      <c r="U5" s="15">
        <f>IF(20&lt;=DAY(EOMONTH(DATE(Resumen!$B$2,2,1),0)),20,"")</f>
        <v/>
      </c>
      <c r="V5" s="15">
        <f>IF(21&lt;=DAY(EOMONTH(DATE(Resumen!$B$2,2,1),0)),21,"")</f>
        <v/>
      </c>
      <c r="W5" s="15">
        <f>IF(22&lt;=DAY(EOMONTH(DATE(Resumen!$B$2,2,1),0)),22,"")</f>
        <v/>
      </c>
      <c r="X5" s="15">
        <f>IF(23&lt;=DAY(EOMONTH(DATE(Resumen!$B$2,2,1),0)),23,"")</f>
        <v/>
      </c>
      <c r="Y5" s="15">
        <f>IF(24&lt;=DAY(EOMONTH(DATE(Resumen!$B$2,2,1),0)),24,"")</f>
        <v/>
      </c>
      <c r="Z5" s="15">
        <f>IF(25&lt;=DAY(EOMONTH(DATE(Resumen!$B$2,2,1),0)),25,"")</f>
        <v/>
      </c>
      <c r="AA5" s="15">
        <f>IF(26&lt;=DAY(EOMONTH(DATE(Resumen!$B$2,2,1),0)),26,"")</f>
        <v/>
      </c>
      <c r="AB5" s="15">
        <f>IF(27&lt;=DAY(EOMONTH(DATE(Resumen!$B$2,2,1),0)),27,"")</f>
        <v/>
      </c>
      <c r="AC5" s="15">
        <f>IF(28&lt;=DAY(EOMONTH(DATE(Resumen!$B$2,2,1),0)),28,"")</f>
        <v/>
      </c>
      <c r="AD5" s="15">
        <f>IF(29&lt;=DAY(EOMONTH(DATE(Resumen!$B$2,2,1),0)),29,"")</f>
        <v/>
      </c>
      <c r="AE5" s="15">
        <f>IF(30&lt;=DAY(EOMONTH(DATE(Resumen!$B$2,2,1),0)),30,"")</f>
        <v/>
      </c>
      <c r="AF5" s="15">
        <f>IF(31&lt;=DAY(EOMONTH(DATE(Resumen!$B$2,2,1),0)),31,"")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IF(B$5="","",MID("LMXJVSD",WEEKDAY(DATE(Resumen!$B$2,2,B$5),2),1))</f>
        <v/>
      </c>
      <c r="C6" s="15">
        <f>IF(C$5="","",MID("LMXJVSD",WEEKDAY(DATE(Resumen!$B$2,2,C$5),2),1))</f>
        <v/>
      </c>
      <c r="D6" s="15">
        <f>IF(D$5="","",MID("LMXJVSD",WEEKDAY(DATE(Resumen!$B$2,2,D$5),2),1))</f>
        <v/>
      </c>
      <c r="E6" s="15">
        <f>IF(E$5="","",MID("LMXJVSD",WEEKDAY(DATE(Resumen!$B$2,2,E$5),2),1))</f>
        <v/>
      </c>
      <c r="F6" s="15">
        <f>IF(F$5="","",MID("LMXJVSD",WEEKDAY(DATE(Resumen!$B$2,2,F$5),2),1))</f>
        <v/>
      </c>
      <c r="G6" s="15">
        <f>IF(G$5="","",MID("LMXJVSD",WEEKDAY(DATE(Resumen!$B$2,2,G$5),2),1))</f>
        <v/>
      </c>
      <c r="H6" s="15">
        <f>IF(H$5="","",MID("LMXJVSD",WEEKDAY(DATE(Resumen!$B$2,2,H$5),2),1))</f>
        <v/>
      </c>
      <c r="I6" s="15">
        <f>IF(I$5="","",MID("LMXJVSD",WEEKDAY(DATE(Resumen!$B$2,2,I$5),2),1))</f>
        <v/>
      </c>
      <c r="J6" s="15">
        <f>IF(J$5="","",MID("LMXJVSD",WEEKDAY(DATE(Resumen!$B$2,2,J$5),2),1))</f>
        <v/>
      </c>
      <c r="K6" s="15">
        <f>IF(K$5="","",MID("LMXJVSD",WEEKDAY(DATE(Resumen!$B$2,2,K$5),2),1))</f>
        <v/>
      </c>
      <c r="L6" s="15">
        <f>IF(L$5="","",MID("LMXJVSD",WEEKDAY(DATE(Resumen!$B$2,2,L$5),2),1))</f>
        <v/>
      </c>
      <c r="M6" s="15">
        <f>IF(M$5="","",MID("LMXJVSD",WEEKDAY(DATE(Resumen!$B$2,2,M$5),2),1))</f>
        <v/>
      </c>
      <c r="N6" s="15">
        <f>IF(N$5="","",MID("LMXJVSD",WEEKDAY(DATE(Resumen!$B$2,2,N$5),2),1))</f>
        <v/>
      </c>
      <c r="O6" s="15">
        <f>IF(O$5="","",MID("LMXJVSD",WEEKDAY(DATE(Resumen!$B$2,2,O$5),2),1))</f>
        <v/>
      </c>
      <c r="P6" s="15">
        <f>IF(P$5="","",MID("LMXJVSD",WEEKDAY(DATE(Resumen!$B$2,2,P$5),2),1))</f>
        <v/>
      </c>
      <c r="Q6" s="15">
        <f>IF(Q$5="","",MID("LMXJVSD",WEEKDAY(DATE(Resumen!$B$2,2,Q$5),2),1))</f>
        <v/>
      </c>
      <c r="R6" s="15">
        <f>IF(R$5="","",MID("LMXJVSD",WEEKDAY(DATE(Resumen!$B$2,2,R$5),2),1))</f>
        <v/>
      </c>
      <c r="S6" s="15">
        <f>IF(S$5="","",MID("LMXJVSD",WEEKDAY(DATE(Resumen!$B$2,2,S$5),2),1))</f>
        <v/>
      </c>
      <c r="T6" s="15">
        <f>IF(T$5="","",MID("LMXJVSD",WEEKDAY(DATE(Resumen!$B$2,2,T$5),2),1))</f>
        <v/>
      </c>
      <c r="U6" s="15">
        <f>IF(U$5="","",MID("LMXJVSD",WEEKDAY(DATE(Resumen!$B$2,2,U$5),2),1))</f>
        <v/>
      </c>
      <c r="V6" s="15">
        <f>IF(V$5="","",MID("LMXJVSD",WEEKDAY(DATE(Resumen!$B$2,2,V$5),2),1))</f>
        <v/>
      </c>
      <c r="W6" s="15">
        <f>IF(W$5="","",MID("LMXJVSD",WEEKDAY(DATE(Resumen!$B$2,2,W$5),2),1))</f>
        <v/>
      </c>
      <c r="X6" s="15">
        <f>IF(X$5="","",MID("LMXJVSD",WEEKDAY(DATE(Resumen!$B$2,2,X$5),2),1))</f>
        <v/>
      </c>
      <c r="Y6" s="15">
        <f>IF(Y$5="","",MID("LMXJVSD",WEEKDAY(DATE(Resumen!$B$2,2,Y$5),2),1))</f>
        <v/>
      </c>
      <c r="Z6" s="15">
        <f>IF(Z$5="","",MID("LMXJVSD",WEEKDAY(DATE(Resumen!$B$2,2,Z$5),2),1))</f>
        <v/>
      </c>
      <c r="AA6" s="15">
        <f>IF(AA$5="","",MID("LMXJVSD",WEEKDAY(DATE(Resumen!$B$2,2,AA$5),2),1))</f>
        <v/>
      </c>
      <c r="AB6" s="15">
        <f>IF(AB$5="","",MID("LMXJVSD",WEEKDAY(DATE(Resumen!$B$2,2,AB$5),2),1))</f>
        <v/>
      </c>
      <c r="AC6" s="15">
        <f>IF(AC$5="","",MID("LMXJVSD",WEEKDAY(DATE(Resumen!$B$2,2,AC$5),2),1))</f>
        <v/>
      </c>
      <c r="AD6" s="15">
        <f>IF(AD$5="","",MID("LMXJVSD",WEEKDAY(DATE(Resumen!$B$2,2,AD$5),2),1))</f>
        <v/>
      </c>
      <c r="AE6" s="15">
        <f>IF(AE$5="","",MID("LMXJVSD",WEEKDAY(DATE(Resumen!$B$2,2,AE$5),2),1))</f>
        <v/>
      </c>
      <c r="AF6" s="15">
        <f>IF(AF$5="","",MID("LMXJVSD",WEEKDAY(DATE(Resumen!$B$2,2,AF$5),2),1))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IF(B$5="","",IF(COUNTIFS(Festivos!$A$5:$A$239,Resumen!$E$2,Festivos!$B$5:$B$239,DATE(Resumen!$B$2,2,B$5))+COUNTIF(Festivos!$E$5:$E$24,DATE(Resumen!$B$2,2,B$5))&gt;0,"F",""))</f>
        <v/>
      </c>
      <c r="C7" s="15">
        <f>IF(C$5="","",IF(COUNTIFS(Festivos!$A$5:$A$239,Resumen!$E$2,Festivos!$B$5:$B$239,DATE(Resumen!$B$2,2,C$5))+COUNTIF(Festivos!$E$5:$E$24,DATE(Resumen!$B$2,2,C$5))&gt;0,"F",""))</f>
        <v/>
      </c>
      <c r="D7" s="15">
        <f>IF(D$5="","",IF(COUNTIFS(Festivos!$A$5:$A$239,Resumen!$E$2,Festivos!$B$5:$B$239,DATE(Resumen!$B$2,2,D$5))+COUNTIF(Festivos!$E$5:$E$24,DATE(Resumen!$B$2,2,D$5))&gt;0,"F",""))</f>
        <v/>
      </c>
      <c r="E7" s="15">
        <f>IF(E$5="","",IF(COUNTIFS(Festivos!$A$5:$A$239,Resumen!$E$2,Festivos!$B$5:$B$239,DATE(Resumen!$B$2,2,E$5))+COUNTIF(Festivos!$E$5:$E$24,DATE(Resumen!$B$2,2,E$5))&gt;0,"F",""))</f>
        <v/>
      </c>
      <c r="F7" s="15">
        <f>IF(F$5="","",IF(COUNTIFS(Festivos!$A$5:$A$239,Resumen!$E$2,Festivos!$B$5:$B$239,DATE(Resumen!$B$2,2,F$5))+COUNTIF(Festivos!$E$5:$E$24,DATE(Resumen!$B$2,2,F$5))&gt;0,"F",""))</f>
        <v/>
      </c>
      <c r="G7" s="15">
        <f>IF(G$5="","",IF(COUNTIFS(Festivos!$A$5:$A$239,Resumen!$E$2,Festivos!$B$5:$B$239,DATE(Resumen!$B$2,2,G$5))+COUNTIF(Festivos!$E$5:$E$24,DATE(Resumen!$B$2,2,G$5))&gt;0,"F",""))</f>
        <v/>
      </c>
      <c r="H7" s="15">
        <f>IF(H$5="","",IF(COUNTIFS(Festivos!$A$5:$A$239,Resumen!$E$2,Festivos!$B$5:$B$239,DATE(Resumen!$B$2,2,H$5))+COUNTIF(Festivos!$E$5:$E$24,DATE(Resumen!$B$2,2,H$5))&gt;0,"F",""))</f>
        <v/>
      </c>
      <c r="I7" s="15">
        <f>IF(I$5="","",IF(COUNTIFS(Festivos!$A$5:$A$239,Resumen!$E$2,Festivos!$B$5:$B$239,DATE(Resumen!$B$2,2,I$5))+COUNTIF(Festivos!$E$5:$E$24,DATE(Resumen!$B$2,2,I$5))&gt;0,"F",""))</f>
        <v/>
      </c>
      <c r="J7" s="15">
        <f>IF(J$5="","",IF(COUNTIFS(Festivos!$A$5:$A$239,Resumen!$E$2,Festivos!$B$5:$B$239,DATE(Resumen!$B$2,2,J$5))+COUNTIF(Festivos!$E$5:$E$24,DATE(Resumen!$B$2,2,J$5))&gt;0,"F",""))</f>
        <v/>
      </c>
      <c r="K7" s="15">
        <f>IF(K$5="","",IF(COUNTIFS(Festivos!$A$5:$A$239,Resumen!$E$2,Festivos!$B$5:$B$239,DATE(Resumen!$B$2,2,K$5))+COUNTIF(Festivos!$E$5:$E$24,DATE(Resumen!$B$2,2,K$5))&gt;0,"F",""))</f>
        <v/>
      </c>
      <c r="L7" s="15">
        <f>IF(L$5="","",IF(COUNTIFS(Festivos!$A$5:$A$239,Resumen!$E$2,Festivos!$B$5:$B$239,DATE(Resumen!$B$2,2,L$5))+COUNTIF(Festivos!$E$5:$E$24,DATE(Resumen!$B$2,2,L$5))&gt;0,"F",""))</f>
        <v/>
      </c>
      <c r="M7" s="15">
        <f>IF(M$5="","",IF(COUNTIFS(Festivos!$A$5:$A$239,Resumen!$E$2,Festivos!$B$5:$B$239,DATE(Resumen!$B$2,2,M$5))+COUNTIF(Festivos!$E$5:$E$24,DATE(Resumen!$B$2,2,M$5))&gt;0,"F",""))</f>
        <v/>
      </c>
      <c r="N7" s="15">
        <f>IF(N$5="","",IF(COUNTIFS(Festivos!$A$5:$A$239,Resumen!$E$2,Festivos!$B$5:$B$239,DATE(Resumen!$B$2,2,N$5))+COUNTIF(Festivos!$E$5:$E$24,DATE(Resumen!$B$2,2,N$5))&gt;0,"F",""))</f>
        <v/>
      </c>
      <c r="O7" s="15">
        <f>IF(O$5="","",IF(COUNTIFS(Festivos!$A$5:$A$239,Resumen!$E$2,Festivos!$B$5:$B$239,DATE(Resumen!$B$2,2,O$5))+COUNTIF(Festivos!$E$5:$E$24,DATE(Resumen!$B$2,2,O$5))&gt;0,"F",""))</f>
        <v/>
      </c>
      <c r="P7" s="15">
        <f>IF(P$5="","",IF(COUNTIFS(Festivos!$A$5:$A$239,Resumen!$E$2,Festivos!$B$5:$B$239,DATE(Resumen!$B$2,2,P$5))+COUNTIF(Festivos!$E$5:$E$24,DATE(Resumen!$B$2,2,P$5))&gt;0,"F",""))</f>
        <v/>
      </c>
      <c r="Q7" s="15">
        <f>IF(Q$5="","",IF(COUNTIFS(Festivos!$A$5:$A$239,Resumen!$E$2,Festivos!$B$5:$B$239,DATE(Resumen!$B$2,2,Q$5))+COUNTIF(Festivos!$E$5:$E$24,DATE(Resumen!$B$2,2,Q$5))&gt;0,"F",""))</f>
        <v/>
      </c>
      <c r="R7" s="15">
        <f>IF(R$5="","",IF(COUNTIFS(Festivos!$A$5:$A$239,Resumen!$E$2,Festivos!$B$5:$B$239,DATE(Resumen!$B$2,2,R$5))+COUNTIF(Festivos!$E$5:$E$24,DATE(Resumen!$B$2,2,R$5))&gt;0,"F",""))</f>
        <v/>
      </c>
      <c r="S7" s="15">
        <f>IF(S$5="","",IF(COUNTIFS(Festivos!$A$5:$A$239,Resumen!$E$2,Festivos!$B$5:$B$239,DATE(Resumen!$B$2,2,S$5))+COUNTIF(Festivos!$E$5:$E$24,DATE(Resumen!$B$2,2,S$5))&gt;0,"F",""))</f>
        <v/>
      </c>
      <c r="T7" s="15">
        <f>IF(T$5="","",IF(COUNTIFS(Festivos!$A$5:$A$239,Resumen!$E$2,Festivos!$B$5:$B$239,DATE(Resumen!$B$2,2,T$5))+COUNTIF(Festivos!$E$5:$E$24,DATE(Resumen!$B$2,2,T$5))&gt;0,"F",""))</f>
        <v/>
      </c>
      <c r="U7" s="15">
        <f>IF(U$5="","",IF(COUNTIFS(Festivos!$A$5:$A$239,Resumen!$E$2,Festivos!$B$5:$B$239,DATE(Resumen!$B$2,2,U$5))+COUNTIF(Festivos!$E$5:$E$24,DATE(Resumen!$B$2,2,U$5))&gt;0,"F",""))</f>
        <v/>
      </c>
      <c r="V7" s="15">
        <f>IF(V$5="","",IF(COUNTIFS(Festivos!$A$5:$A$239,Resumen!$E$2,Festivos!$B$5:$B$239,DATE(Resumen!$B$2,2,V$5))+COUNTIF(Festivos!$E$5:$E$24,DATE(Resumen!$B$2,2,V$5))&gt;0,"F",""))</f>
        <v/>
      </c>
      <c r="W7" s="15">
        <f>IF(W$5="","",IF(COUNTIFS(Festivos!$A$5:$A$239,Resumen!$E$2,Festivos!$B$5:$B$239,DATE(Resumen!$B$2,2,W$5))+COUNTIF(Festivos!$E$5:$E$24,DATE(Resumen!$B$2,2,W$5))&gt;0,"F",""))</f>
        <v/>
      </c>
      <c r="X7" s="15">
        <f>IF(X$5="","",IF(COUNTIFS(Festivos!$A$5:$A$239,Resumen!$E$2,Festivos!$B$5:$B$239,DATE(Resumen!$B$2,2,X$5))+COUNTIF(Festivos!$E$5:$E$24,DATE(Resumen!$B$2,2,X$5))&gt;0,"F",""))</f>
        <v/>
      </c>
      <c r="Y7" s="15">
        <f>IF(Y$5="","",IF(COUNTIFS(Festivos!$A$5:$A$239,Resumen!$E$2,Festivos!$B$5:$B$239,DATE(Resumen!$B$2,2,Y$5))+COUNTIF(Festivos!$E$5:$E$24,DATE(Resumen!$B$2,2,Y$5))&gt;0,"F",""))</f>
        <v/>
      </c>
      <c r="Z7" s="15">
        <f>IF(Z$5="","",IF(COUNTIFS(Festivos!$A$5:$A$239,Resumen!$E$2,Festivos!$B$5:$B$239,DATE(Resumen!$B$2,2,Z$5))+COUNTIF(Festivos!$E$5:$E$24,DATE(Resumen!$B$2,2,Z$5))&gt;0,"F",""))</f>
        <v/>
      </c>
      <c r="AA7" s="15">
        <f>IF(AA$5="","",IF(COUNTIFS(Festivos!$A$5:$A$239,Resumen!$E$2,Festivos!$B$5:$B$239,DATE(Resumen!$B$2,2,AA$5))+COUNTIF(Festivos!$E$5:$E$24,DATE(Resumen!$B$2,2,AA$5))&gt;0,"F",""))</f>
        <v/>
      </c>
      <c r="AB7" s="15">
        <f>IF(AB$5="","",IF(COUNTIFS(Festivos!$A$5:$A$239,Resumen!$E$2,Festivos!$B$5:$B$239,DATE(Resumen!$B$2,2,AB$5))+COUNTIF(Festivos!$E$5:$E$24,DATE(Resumen!$B$2,2,AB$5))&gt;0,"F",""))</f>
        <v/>
      </c>
      <c r="AC7" s="15">
        <f>IF(AC$5="","",IF(COUNTIFS(Festivos!$A$5:$A$239,Resumen!$E$2,Festivos!$B$5:$B$239,DATE(Resumen!$B$2,2,AC$5))+COUNTIF(Festivos!$E$5:$E$24,DATE(Resumen!$B$2,2,AC$5))&gt;0,"F",""))</f>
        <v/>
      </c>
      <c r="AD7" s="15">
        <f>IF(AD$5="","",IF(COUNTIFS(Festivos!$A$5:$A$239,Resumen!$E$2,Festivos!$B$5:$B$239,DATE(Resumen!$B$2,2,AD$5))+COUNTIF(Festivos!$E$5:$E$24,DATE(Resumen!$B$2,2,AD$5))&gt;0,"F",""))</f>
        <v/>
      </c>
      <c r="AE7" s="15">
        <f>IF(AE$5="","",IF(COUNTIFS(Festivos!$A$5:$A$239,Resumen!$E$2,Festivos!$B$5:$B$239,DATE(Resumen!$B$2,2,AE$5))+COUNTIF(Festivos!$E$5:$E$24,DATE(Resumen!$B$2,2,AE$5))&gt;0,"F",""))</f>
        <v/>
      </c>
      <c r="AF7" s="15">
        <f>IF(AF$5="","",IF(COUNTIFS(Festivos!$A$5:$A$239,Resumen!$E$2,Festivos!$B$5:$B$239,DATE(Resumen!$B$2,2,AF$5))+COUNTIF(Festivos!$E$5:$E$24,DATE(Resumen!$B$2,2,AF$5))&gt;0,"F",""))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"Marzo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IF(1&lt;=DAY(EOMONTH(DATE(Resumen!$B$2,3,1),0)),1,"")</f>
        <v/>
      </c>
      <c r="C5" s="15">
        <f>IF(2&lt;=DAY(EOMONTH(DATE(Resumen!$B$2,3,1),0)),2,"")</f>
        <v/>
      </c>
      <c r="D5" s="15">
        <f>IF(3&lt;=DAY(EOMONTH(DATE(Resumen!$B$2,3,1),0)),3,"")</f>
        <v/>
      </c>
      <c r="E5" s="15">
        <f>IF(4&lt;=DAY(EOMONTH(DATE(Resumen!$B$2,3,1),0)),4,"")</f>
        <v/>
      </c>
      <c r="F5" s="15">
        <f>IF(5&lt;=DAY(EOMONTH(DATE(Resumen!$B$2,3,1),0)),5,"")</f>
        <v/>
      </c>
      <c r="G5" s="15">
        <f>IF(6&lt;=DAY(EOMONTH(DATE(Resumen!$B$2,3,1),0)),6,"")</f>
        <v/>
      </c>
      <c r="H5" s="15">
        <f>IF(7&lt;=DAY(EOMONTH(DATE(Resumen!$B$2,3,1),0)),7,"")</f>
        <v/>
      </c>
      <c r="I5" s="15">
        <f>IF(8&lt;=DAY(EOMONTH(DATE(Resumen!$B$2,3,1),0)),8,"")</f>
        <v/>
      </c>
      <c r="J5" s="15">
        <f>IF(9&lt;=DAY(EOMONTH(DATE(Resumen!$B$2,3,1),0)),9,"")</f>
        <v/>
      </c>
      <c r="K5" s="15">
        <f>IF(10&lt;=DAY(EOMONTH(DATE(Resumen!$B$2,3,1),0)),10,"")</f>
        <v/>
      </c>
      <c r="L5" s="15">
        <f>IF(11&lt;=DAY(EOMONTH(DATE(Resumen!$B$2,3,1),0)),11,"")</f>
        <v/>
      </c>
      <c r="M5" s="15">
        <f>IF(12&lt;=DAY(EOMONTH(DATE(Resumen!$B$2,3,1),0)),12,"")</f>
        <v/>
      </c>
      <c r="N5" s="15">
        <f>IF(13&lt;=DAY(EOMONTH(DATE(Resumen!$B$2,3,1),0)),13,"")</f>
        <v/>
      </c>
      <c r="O5" s="15">
        <f>IF(14&lt;=DAY(EOMONTH(DATE(Resumen!$B$2,3,1),0)),14,"")</f>
        <v/>
      </c>
      <c r="P5" s="15">
        <f>IF(15&lt;=DAY(EOMONTH(DATE(Resumen!$B$2,3,1),0)),15,"")</f>
        <v/>
      </c>
      <c r="Q5" s="15">
        <f>IF(16&lt;=DAY(EOMONTH(DATE(Resumen!$B$2,3,1),0)),16,"")</f>
        <v/>
      </c>
      <c r="R5" s="15">
        <f>IF(17&lt;=DAY(EOMONTH(DATE(Resumen!$B$2,3,1),0)),17,"")</f>
        <v/>
      </c>
      <c r="S5" s="15">
        <f>IF(18&lt;=DAY(EOMONTH(DATE(Resumen!$B$2,3,1),0)),18,"")</f>
        <v/>
      </c>
      <c r="T5" s="15">
        <f>IF(19&lt;=DAY(EOMONTH(DATE(Resumen!$B$2,3,1),0)),19,"")</f>
        <v/>
      </c>
      <c r="U5" s="15">
        <f>IF(20&lt;=DAY(EOMONTH(DATE(Resumen!$B$2,3,1),0)),20,"")</f>
        <v/>
      </c>
      <c r="V5" s="15">
        <f>IF(21&lt;=DAY(EOMONTH(DATE(Resumen!$B$2,3,1),0)),21,"")</f>
        <v/>
      </c>
      <c r="W5" s="15">
        <f>IF(22&lt;=DAY(EOMONTH(DATE(Resumen!$B$2,3,1),0)),22,"")</f>
        <v/>
      </c>
      <c r="X5" s="15">
        <f>IF(23&lt;=DAY(EOMONTH(DATE(Resumen!$B$2,3,1),0)),23,"")</f>
        <v/>
      </c>
      <c r="Y5" s="15">
        <f>IF(24&lt;=DAY(EOMONTH(DATE(Resumen!$B$2,3,1),0)),24,"")</f>
        <v/>
      </c>
      <c r="Z5" s="15">
        <f>IF(25&lt;=DAY(EOMONTH(DATE(Resumen!$B$2,3,1),0)),25,"")</f>
        <v/>
      </c>
      <c r="AA5" s="15">
        <f>IF(26&lt;=DAY(EOMONTH(DATE(Resumen!$B$2,3,1),0)),26,"")</f>
        <v/>
      </c>
      <c r="AB5" s="15">
        <f>IF(27&lt;=DAY(EOMONTH(DATE(Resumen!$B$2,3,1),0)),27,"")</f>
        <v/>
      </c>
      <c r="AC5" s="15">
        <f>IF(28&lt;=DAY(EOMONTH(DATE(Resumen!$B$2,3,1),0)),28,"")</f>
        <v/>
      </c>
      <c r="AD5" s="15">
        <f>IF(29&lt;=DAY(EOMONTH(DATE(Resumen!$B$2,3,1),0)),29,"")</f>
        <v/>
      </c>
      <c r="AE5" s="15">
        <f>IF(30&lt;=DAY(EOMONTH(DATE(Resumen!$B$2,3,1),0)),30,"")</f>
        <v/>
      </c>
      <c r="AF5" s="15">
        <f>IF(31&lt;=DAY(EOMONTH(DATE(Resumen!$B$2,3,1),0)),31,"")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IF(B$5="","",MID("LMXJVSD",WEEKDAY(DATE(Resumen!$B$2,3,B$5),2),1))</f>
        <v/>
      </c>
      <c r="C6" s="15">
        <f>IF(C$5="","",MID("LMXJVSD",WEEKDAY(DATE(Resumen!$B$2,3,C$5),2),1))</f>
        <v/>
      </c>
      <c r="D6" s="15">
        <f>IF(D$5="","",MID("LMXJVSD",WEEKDAY(DATE(Resumen!$B$2,3,D$5),2),1))</f>
        <v/>
      </c>
      <c r="E6" s="15">
        <f>IF(E$5="","",MID("LMXJVSD",WEEKDAY(DATE(Resumen!$B$2,3,E$5),2),1))</f>
        <v/>
      </c>
      <c r="F6" s="15">
        <f>IF(F$5="","",MID("LMXJVSD",WEEKDAY(DATE(Resumen!$B$2,3,F$5),2),1))</f>
        <v/>
      </c>
      <c r="G6" s="15">
        <f>IF(G$5="","",MID("LMXJVSD",WEEKDAY(DATE(Resumen!$B$2,3,G$5),2),1))</f>
        <v/>
      </c>
      <c r="H6" s="15">
        <f>IF(H$5="","",MID("LMXJVSD",WEEKDAY(DATE(Resumen!$B$2,3,H$5),2),1))</f>
        <v/>
      </c>
      <c r="I6" s="15">
        <f>IF(I$5="","",MID("LMXJVSD",WEEKDAY(DATE(Resumen!$B$2,3,I$5),2),1))</f>
        <v/>
      </c>
      <c r="J6" s="15">
        <f>IF(J$5="","",MID("LMXJVSD",WEEKDAY(DATE(Resumen!$B$2,3,J$5),2),1))</f>
        <v/>
      </c>
      <c r="K6" s="15">
        <f>IF(K$5="","",MID("LMXJVSD",WEEKDAY(DATE(Resumen!$B$2,3,K$5),2),1))</f>
        <v/>
      </c>
      <c r="L6" s="15">
        <f>IF(L$5="","",MID("LMXJVSD",WEEKDAY(DATE(Resumen!$B$2,3,L$5),2),1))</f>
        <v/>
      </c>
      <c r="M6" s="15">
        <f>IF(M$5="","",MID("LMXJVSD",WEEKDAY(DATE(Resumen!$B$2,3,M$5),2),1))</f>
        <v/>
      </c>
      <c r="N6" s="15">
        <f>IF(N$5="","",MID("LMXJVSD",WEEKDAY(DATE(Resumen!$B$2,3,N$5),2),1))</f>
        <v/>
      </c>
      <c r="O6" s="15">
        <f>IF(O$5="","",MID("LMXJVSD",WEEKDAY(DATE(Resumen!$B$2,3,O$5),2),1))</f>
        <v/>
      </c>
      <c r="P6" s="15">
        <f>IF(P$5="","",MID("LMXJVSD",WEEKDAY(DATE(Resumen!$B$2,3,P$5),2),1))</f>
        <v/>
      </c>
      <c r="Q6" s="15">
        <f>IF(Q$5="","",MID("LMXJVSD",WEEKDAY(DATE(Resumen!$B$2,3,Q$5),2),1))</f>
        <v/>
      </c>
      <c r="R6" s="15">
        <f>IF(R$5="","",MID("LMXJVSD",WEEKDAY(DATE(Resumen!$B$2,3,R$5),2),1))</f>
        <v/>
      </c>
      <c r="S6" s="15">
        <f>IF(S$5="","",MID("LMXJVSD",WEEKDAY(DATE(Resumen!$B$2,3,S$5),2),1))</f>
        <v/>
      </c>
      <c r="T6" s="15">
        <f>IF(T$5="","",MID("LMXJVSD",WEEKDAY(DATE(Resumen!$B$2,3,T$5),2),1))</f>
        <v/>
      </c>
      <c r="U6" s="15">
        <f>IF(U$5="","",MID("LMXJVSD",WEEKDAY(DATE(Resumen!$B$2,3,U$5),2),1))</f>
        <v/>
      </c>
      <c r="V6" s="15">
        <f>IF(V$5="","",MID("LMXJVSD",WEEKDAY(DATE(Resumen!$B$2,3,V$5),2),1))</f>
        <v/>
      </c>
      <c r="W6" s="15">
        <f>IF(W$5="","",MID("LMXJVSD",WEEKDAY(DATE(Resumen!$B$2,3,W$5),2),1))</f>
        <v/>
      </c>
      <c r="X6" s="15">
        <f>IF(X$5="","",MID("LMXJVSD",WEEKDAY(DATE(Resumen!$B$2,3,X$5),2),1))</f>
        <v/>
      </c>
      <c r="Y6" s="15">
        <f>IF(Y$5="","",MID("LMXJVSD",WEEKDAY(DATE(Resumen!$B$2,3,Y$5),2),1))</f>
        <v/>
      </c>
      <c r="Z6" s="15">
        <f>IF(Z$5="","",MID("LMXJVSD",WEEKDAY(DATE(Resumen!$B$2,3,Z$5),2),1))</f>
        <v/>
      </c>
      <c r="AA6" s="15">
        <f>IF(AA$5="","",MID("LMXJVSD",WEEKDAY(DATE(Resumen!$B$2,3,AA$5),2),1))</f>
        <v/>
      </c>
      <c r="AB6" s="15">
        <f>IF(AB$5="","",MID("LMXJVSD",WEEKDAY(DATE(Resumen!$B$2,3,AB$5),2),1))</f>
        <v/>
      </c>
      <c r="AC6" s="15">
        <f>IF(AC$5="","",MID("LMXJVSD",WEEKDAY(DATE(Resumen!$B$2,3,AC$5),2),1))</f>
        <v/>
      </c>
      <c r="AD6" s="15">
        <f>IF(AD$5="","",MID("LMXJVSD",WEEKDAY(DATE(Resumen!$B$2,3,AD$5),2),1))</f>
        <v/>
      </c>
      <c r="AE6" s="15">
        <f>IF(AE$5="","",MID("LMXJVSD",WEEKDAY(DATE(Resumen!$B$2,3,AE$5),2),1))</f>
        <v/>
      </c>
      <c r="AF6" s="15">
        <f>IF(AF$5="","",MID("LMXJVSD",WEEKDAY(DATE(Resumen!$B$2,3,AF$5),2),1))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IF(B$5="","",IF(COUNTIFS(Festivos!$A$5:$A$239,Resumen!$E$2,Festivos!$B$5:$B$239,DATE(Resumen!$B$2,3,B$5))+COUNTIF(Festivos!$E$5:$E$24,DATE(Resumen!$B$2,3,B$5))&gt;0,"F",""))</f>
        <v/>
      </c>
      <c r="C7" s="15">
        <f>IF(C$5="","",IF(COUNTIFS(Festivos!$A$5:$A$239,Resumen!$E$2,Festivos!$B$5:$B$239,DATE(Resumen!$B$2,3,C$5))+COUNTIF(Festivos!$E$5:$E$24,DATE(Resumen!$B$2,3,C$5))&gt;0,"F",""))</f>
        <v/>
      </c>
      <c r="D7" s="15">
        <f>IF(D$5="","",IF(COUNTIFS(Festivos!$A$5:$A$239,Resumen!$E$2,Festivos!$B$5:$B$239,DATE(Resumen!$B$2,3,D$5))+COUNTIF(Festivos!$E$5:$E$24,DATE(Resumen!$B$2,3,D$5))&gt;0,"F",""))</f>
        <v/>
      </c>
      <c r="E7" s="15">
        <f>IF(E$5="","",IF(COUNTIFS(Festivos!$A$5:$A$239,Resumen!$E$2,Festivos!$B$5:$B$239,DATE(Resumen!$B$2,3,E$5))+COUNTIF(Festivos!$E$5:$E$24,DATE(Resumen!$B$2,3,E$5))&gt;0,"F",""))</f>
        <v/>
      </c>
      <c r="F7" s="15">
        <f>IF(F$5="","",IF(COUNTIFS(Festivos!$A$5:$A$239,Resumen!$E$2,Festivos!$B$5:$B$239,DATE(Resumen!$B$2,3,F$5))+COUNTIF(Festivos!$E$5:$E$24,DATE(Resumen!$B$2,3,F$5))&gt;0,"F",""))</f>
        <v/>
      </c>
      <c r="G7" s="15">
        <f>IF(G$5="","",IF(COUNTIFS(Festivos!$A$5:$A$239,Resumen!$E$2,Festivos!$B$5:$B$239,DATE(Resumen!$B$2,3,G$5))+COUNTIF(Festivos!$E$5:$E$24,DATE(Resumen!$B$2,3,G$5))&gt;0,"F",""))</f>
        <v/>
      </c>
      <c r="H7" s="15">
        <f>IF(H$5="","",IF(COUNTIFS(Festivos!$A$5:$A$239,Resumen!$E$2,Festivos!$B$5:$B$239,DATE(Resumen!$B$2,3,H$5))+COUNTIF(Festivos!$E$5:$E$24,DATE(Resumen!$B$2,3,H$5))&gt;0,"F",""))</f>
        <v/>
      </c>
      <c r="I7" s="15">
        <f>IF(I$5="","",IF(COUNTIFS(Festivos!$A$5:$A$239,Resumen!$E$2,Festivos!$B$5:$B$239,DATE(Resumen!$B$2,3,I$5))+COUNTIF(Festivos!$E$5:$E$24,DATE(Resumen!$B$2,3,I$5))&gt;0,"F",""))</f>
        <v/>
      </c>
      <c r="J7" s="15">
        <f>IF(J$5="","",IF(COUNTIFS(Festivos!$A$5:$A$239,Resumen!$E$2,Festivos!$B$5:$B$239,DATE(Resumen!$B$2,3,J$5))+COUNTIF(Festivos!$E$5:$E$24,DATE(Resumen!$B$2,3,J$5))&gt;0,"F",""))</f>
        <v/>
      </c>
      <c r="K7" s="15">
        <f>IF(K$5="","",IF(COUNTIFS(Festivos!$A$5:$A$239,Resumen!$E$2,Festivos!$B$5:$B$239,DATE(Resumen!$B$2,3,K$5))+COUNTIF(Festivos!$E$5:$E$24,DATE(Resumen!$B$2,3,K$5))&gt;0,"F",""))</f>
        <v/>
      </c>
      <c r="L7" s="15">
        <f>IF(L$5="","",IF(COUNTIFS(Festivos!$A$5:$A$239,Resumen!$E$2,Festivos!$B$5:$B$239,DATE(Resumen!$B$2,3,L$5))+COUNTIF(Festivos!$E$5:$E$24,DATE(Resumen!$B$2,3,L$5))&gt;0,"F",""))</f>
        <v/>
      </c>
      <c r="M7" s="15">
        <f>IF(M$5="","",IF(COUNTIFS(Festivos!$A$5:$A$239,Resumen!$E$2,Festivos!$B$5:$B$239,DATE(Resumen!$B$2,3,M$5))+COUNTIF(Festivos!$E$5:$E$24,DATE(Resumen!$B$2,3,M$5))&gt;0,"F",""))</f>
        <v/>
      </c>
      <c r="N7" s="15">
        <f>IF(N$5="","",IF(COUNTIFS(Festivos!$A$5:$A$239,Resumen!$E$2,Festivos!$B$5:$B$239,DATE(Resumen!$B$2,3,N$5))+COUNTIF(Festivos!$E$5:$E$24,DATE(Resumen!$B$2,3,N$5))&gt;0,"F",""))</f>
        <v/>
      </c>
      <c r="O7" s="15">
        <f>IF(O$5="","",IF(COUNTIFS(Festivos!$A$5:$A$239,Resumen!$E$2,Festivos!$B$5:$B$239,DATE(Resumen!$B$2,3,O$5))+COUNTIF(Festivos!$E$5:$E$24,DATE(Resumen!$B$2,3,O$5))&gt;0,"F",""))</f>
        <v/>
      </c>
      <c r="P7" s="15">
        <f>IF(P$5="","",IF(COUNTIFS(Festivos!$A$5:$A$239,Resumen!$E$2,Festivos!$B$5:$B$239,DATE(Resumen!$B$2,3,P$5))+COUNTIF(Festivos!$E$5:$E$24,DATE(Resumen!$B$2,3,P$5))&gt;0,"F",""))</f>
        <v/>
      </c>
      <c r="Q7" s="15">
        <f>IF(Q$5="","",IF(COUNTIFS(Festivos!$A$5:$A$239,Resumen!$E$2,Festivos!$B$5:$B$239,DATE(Resumen!$B$2,3,Q$5))+COUNTIF(Festivos!$E$5:$E$24,DATE(Resumen!$B$2,3,Q$5))&gt;0,"F",""))</f>
        <v/>
      </c>
      <c r="R7" s="15">
        <f>IF(R$5="","",IF(COUNTIFS(Festivos!$A$5:$A$239,Resumen!$E$2,Festivos!$B$5:$B$239,DATE(Resumen!$B$2,3,R$5))+COUNTIF(Festivos!$E$5:$E$24,DATE(Resumen!$B$2,3,R$5))&gt;0,"F",""))</f>
        <v/>
      </c>
      <c r="S7" s="15">
        <f>IF(S$5="","",IF(COUNTIFS(Festivos!$A$5:$A$239,Resumen!$E$2,Festivos!$B$5:$B$239,DATE(Resumen!$B$2,3,S$5))+COUNTIF(Festivos!$E$5:$E$24,DATE(Resumen!$B$2,3,S$5))&gt;0,"F",""))</f>
        <v/>
      </c>
      <c r="T7" s="15">
        <f>IF(T$5="","",IF(COUNTIFS(Festivos!$A$5:$A$239,Resumen!$E$2,Festivos!$B$5:$B$239,DATE(Resumen!$B$2,3,T$5))+COUNTIF(Festivos!$E$5:$E$24,DATE(Resumen!$B$2,3,T$5))&gt;0,"F",""))</f>
        <v/>
      </c>
      <c r="U7" s="15">
        <f>IF(U$5="","",IF(COUNTIFS(Festivos!$A$5:$A$239,Resumen!$E$2,Festivos!$B$5:$B$239,DATE(Resumen!$B$2,3,U$5))+COUNTIF(Festivos!$E$5:$E$24,DATE(Resumen!$B$2,3,U$5))&gt;0,"F",""))</f>
        <v/>
      </c>
      <c r="V7" s="15">
        <f>IF(V$5="","",IF(COUNTIFS(Festivos!$A$5:$A$239,Resumen!$E$2,Festivos!$B$5:$B$239,DATE(Resumen!$B$2,3,V$5))+COUNTIF(Festivos!$E$5:$E$24,DATE(Resumen!$B$2,3,V$5))&gt;0,"F",""))</f>
        <v/>
      </c>
      <c r="W7" s="15">
        <f>IF(W$5="","",IF(COUNTIFS(Festivos!$A$5:$A$239,Resumen!$E$2,Festivos!$B$5:$B$239,DATE(Resumen!$B$2,3,W$5))+COUNTIF(Festivos!$E$5:$E$24,DATE(Resumen!$B$2,3,W$5))&gt;0,"F",""))</f>
        <v/>
      </c>
      <c r="X7" s="15">
        <f>IF(X$5="","",IF(COUNTIFS(Festivos!$A$5:$A$239,Resumen!$E$2,Festivos!$B$5:$B$239,DATE(Resumen!$B$2,3,X$5))+COUNTIF(Festivos!$E$5:$E$24,DATE(Resumen!$B$2,3,X$5))&gt;0,"F",""))</f>
        <v/>
      </c>
      <c r="Y7" s="15">
        <f>IF(Y$5="","",IF(COUNTIFS(Festivos!$A$5:$A$239,Resumen!$E$2,Festivos!$B$5:$B$239,DATE(Resumen!$B$2,3,Y$5))+COUNTIF(Festivos!$E$5:$E$24,DATE(Resumen!$B$2,3,Y$5))&gt;0,"F",""))</f>
        <v/>
      </c>
      <c r="Z7" s="15">
        <f>IF(Z$5="","",IF(COUNTIFS(Festivos!$A$5:$A$239,Resumen!$E$2,Festivos!$B$5:$B$239,DATE(Resumen!$B$2,3,Z$5))+COUNTIF(Festivos!$E$5:$E$24,DATE(Resumen!$B$2,3,Z$5))&gt;0,"F",""))</f>
        <v/>
      </c>
      <c r="AA7" s="15">
        <f>IF(AA$5="","",IF(COUNTIFS(Festivos!$A$5:$A$239,Resumen!$E$2,Festivos!$B$5:$B$239,DATE(Resumen!$B$2,3,AA$5))+COUNTIF(Festivos!$E$5:$E$24,DATE(Resumen!$B$2,3,AA$5))&gt;0,"F",""))</f>
        <v/>
      </c>
      <c r="AB7" s="15">
        <f>IF(AB$5="","",IF(COUNTIFS(Festivos!$A$5:$A$239,Resumen!$E$2,Festivos!$B$5:$B$239,DATE(Resumen!$B$2,3,AB$5))+COUNTIF(Festivos!$E$5:$E$24,DATE(Resumen!$B$2,3,AB$5))&gt;0,"F",""))</f>
        <v/>
      </c>
      <c r="AC7" s="15">
        <f>IF(AC$5="","",IF(COUNTIFS(Festivos!$A$5:$A$239,Resumen!$E$2,Festivos!$B$5:$B$239,DATE(Resumen!$B$2,3,AC$5))+COUNTIF(Festivos!$E$5:$E$24,DATE(Resumen!$B$2,3,AC$5))&gt;0,"F",""))</f>
        <v/>
      </c>
      <c r="AD7" s="15">
        <f>IF(AD$5="","",IF(COUNTIFS(Festivos!$A$5:$A$239,Resumen!$E$2,Festivos!$B$5:$B$239,DATE(Resumen!$B$2,3,AD$5))+COUNTIF(Festivos!$E$5:$E$24,DATE(Resumen!$B$2,3,AD$5))&gt;0,"F",""))</f>
        <v/>
      </c>
      <c r="AE7" s="15">
        <f>IF(AE$5="","",IF(COUNTIFS(Festivos!$A$5:$A$239,Resumen!$E$2,Festivos!$B$5:$B$239,DATE(Resumen!$B$2,3,AE$5))+COUNTIF(Festivos!$E$5:$E$24,DATE(Resumen!$B$2,3,AE$5))&gt;0,"F",""))</f>
        <v/>
      </c>
      <c r="AF7" s="15">
        <f>IF(AF$5="","",IF(COUNTIFS(Festivos!$A$5:$A$239,Resumen!$E$2,Festivos!$B$5:$B$239,DATE(Resumen!$B$2,3,AF$5))+COUNTIF(Festivos!$E$5:$E$24,DATE(Resumen!$B$2,3,AF$5))&gt;0,"F",""))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"Abril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IF(1&lt;=DAY(EOMONTH(DATE(Resumen!$B$2,4,1),0)),1,"")</f>
        <v/>
      </c>
      <c r="C5" s="15">
        <f>IF(2&lt;=DAY(EOMONTH(DATE(Resumen!$B$2,4,1),0)),2,"")</f>
        <v/>
      </c>
      <c r="D5" s="15">
        <f>IF(3&lt;=DAY(EOMONTH(DATE(Resumen!$B$2,4,1),0)),3,"")</f>
        <v/>
      </c>
      <c r="E5" s="15">
        <f>IF(4&lt;=DAY(EOMONTH(DATE(Resumen!$B$2,4,1),0)),4,"")</f>
        <v/>
      </c>
      <c r="F5" s="15">
        <f>IF(5&lt;=DAY(EOMONTH(DATE(Resumen!$B$2,4,1),0)),5,"")</f>
        <v/>
      </c>
      <c r="G5" s="15">
        <f>IF(6&lt;=DAY(EOMONTH(DATE(Resumen!$B$2,4,1),0)),6,"")</f>
        <v/>
      </c>
      <c r="H5" s="15">
        <f>IF(7&lt;=DAY(EOMONTH(DATE(Resumen!$B$2,4,1),0)),7,"")</f>
        <v/>
      </c>
      <c r="I5" s="15">
        <f>IF(8&lt;=DAY(EOMONTH(DATE(Resumen!$B$2,4,1),0)),8,"")</f>
        <v/>
      </c>
      <c r="J5" s="15">
        <f>IF(9&lt;=DAY(EOMONTH(DATE(Resumen!$B$2,4,1),0)),9,"")</f>
        <v/>
      </c>
      <c r="K5" s="15">
        <f>IF(10&lt;=DAY(EOMONTH(DATE(Resumen!$B$2,4,1),0)),10,"")</f>
        <v/>
      </c>
      <c r="L5" s="15">
        <f>IF(11&lt;=DAY(EOMONTH(DATE(Resumen!$B$2,4,1),0)),11,"")</f>
        <v/>
      </c>
      <c r="M5" s="15">
        <f>IF(12&lt;=DAY(EOMONTH(DATE(Resumen!$B$2,4,1),0)),12,"")</f>
        <v/>
      </c>
      <c r="N5" s="15">
        <f>IF(13&lt;=DAY(EOMONTH(DATE(Resumen!$B$2,4,1),0)),13,"")</f>
        <v/>
      </c>
      <c r="O5" s="15">
        <f>IF(14&lt;=DAY(EOMONTH(DATE(Resumen!$B$2,4,1),0)),14,"")</f>
        <v/>
      </c>
      <c r="P5" s="15">
        <f>IF(15&lt;=DAY(EOMONTH(DATE(Resumen!$B$2,4,1),0)),15,"")</f>
        <v/>
      </c>
      <c r="Q5" s="15">
        <f>IF(16&lt;=DAY(EOMONTH(DATE(Resumen!$B$2,4,1),0)),16,"")</f>
        <v/>
      </c>
      <c r="R5" s="15">
        <f>IF(17&lt;=DAY(EOMONTH(DATE(Resumen!$B$2,4,1),0)),17,"")</f>
        <v/>
      </c>
      <c r="S5" s="15">
        <f>IF(18&lt;=DAY(EOMONTH(DATE(Resumen!$B$2,4,1),0)),18,"")</f>
        <v/>
      </c>
      <c r="T5" s="15">
        <f>IF(19&lt;=DAY(EOMONTH(DATE(Resumen!$B$2,4,1),0)),19,"")</f>
        <v/>
      </c>
      <c r="U5" s="15">
        <f>IF(20&lt;=DAY(EOMONTH(DATE(Resumen!$B$2,4,1),0)),20,"")</f>
        <v/>
      </c>
      <c r="V5" s="15">
        <f>IF(21&lt;=DAY(EOMONTH(DATE(Resumen!$B$2,4,1),0)),21,"")</f>
        <v/>
      </c>
      <c r="W5" s="15">
        <f>IF(22&lt;=DAY(EOMONTH(DATE(Resumen!$B$2,4,1),0)),22,"")</f>
        <v/>
      </c>
      <c r="X5" s="15">
        <f>IF(23&lt;=DAY(EOMONTH(DATE(Resumen!$B$2,4,1),0)),23,"")</f>
        <v/>
      </c>
      <c r="Y5" s="15">
        <f>IF(24&lt;=DAY(EOMONTH(DATE(Resumen!$B$2,4,1),0)),24,"")</f>
        <v/>
      </c>
      <c r="Z5" s="15">
        <f>IF(25&lt;=DAY(EOMONTH(DATE(Resumen!$B$2,4,1),0)),25,"")</f>
        <v/>
      </c>
      <c r="AA5" s="15">
        <f>IF(26&lt;=DAY(EOMONTH(DATE(Resumen!$B$2,4,1),0)),26,"")</f>
        <v/>
      </c>
      <c r="AB5" s="15">
        <f>IF(27&lt;=DAY(EOMONTH(DATE(Resumen!$B$2,4,1),0)),27,"")</f>
        <v/>
      </c>
      <c r="AC5" s="15">
        <f>IF(28&lt;=DAY(EOMONTH(DATE(Resumen!$B$2,4,1),0)),28,"")</f>
        <v/>
      </c>
      <c r="AD5" s="15">
        <f>IF(29&lt;=DAY(EOMONTH(DATE(Resumen!$B$2,4,1),0)),29,"")</f>
        <v/>
      </c>
      <c r="AE5" s="15">
        <f>IF(30&lt;=DAY(EOMONTH(DATE(Resumen!$B$2,4,1),0)),30,"")</f>
        <v/>
      </c>
      <c r="AF5" s="15">
        <f>IF(31&lt;=DAY(EOMONTH(DATE(Resumen!$B$2,4,1),0)),31,"")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IF(B$5="","",MID("LMXJVSD",WEEKDAY(DATE(Resumen!$B$2,4,B$5),2),1))</f>
        <v/>
      </c>
      <c r="C6" s="15">
        <f>IF(C$5="","",MID("LMXJVSD",WEEKDAY(DATE(Resumen!$B$2,4,C$5),2),1))</f>
        <v/>
      </c>
      <c r="D6" s="15">
        <f>IF(D$5="","",MID("LMXJVSD",WEEKDAY(DATE(Resumen!$B$2,4,D$5),2),1))</f>
        <v/>
      </c>
      <c r="E6" s="15">
        <f>IF(E$5="","",MID("LMXJVSD",WEEKDAY(DATE(Resumen!$B$2,4,E$5),2),1))</f>
        <v/>
      </c>
      <c r="F6" s="15">
        <f>IF(F$5="","",MID("LMXJVSD",WEEKDAY(DATE(Resumen!$B$2,4,F$5),2),1))</f>
        <v/>
      </c>
      <c r="G6" s="15">
        <f>IF(G$5="","",MID("LMXJVSD",WEEKDAY(DATE(Resumen!$B$2,4,G$5),2),1))</f>
        <v/>
      </c>
      <c r="H6" s="15">
        <f>IF(H$5="","",MID("LMXJVSD",WEEKDAY(DATE(Resumen!$B$2,4,H$5),2),1))</f>
        <v/>
      </c>
      <c r="I6" s="15">
        <f>IF(I$5="","",MID("LMXJVSD",WEEKDAY(DATE(Resumen!$B$2,4,I$5),2),1))</f>
        <v/>
      </c>
      <c r="J6" s="15">
        <f>IF(J$5="","",MID("LMXJVSD",WEEKDAY(DATE(Resumen!$B$2,4,J$5),2),1))</f>
        <v/>
      </c>
      <c r="K6" s="15">
        <f>IF(K$5="","",MID("LMXJVSD",WEEKDAY(DATE(Resumen!$B$2,4,K$5),2),1))</f>
        <v/>
      </c>
      <c r="L6" s="15">
        <f>IF(L$5="","",MID("LMXJVSD",WEEKDAY(DATE(Resumen!$B$2,4,L$5),2),1))</f>
        <v/>
      </c>
      <c r="M6" s="15">
        <f>IF(M$5="","",MID("LMXJVSD",WEEKDAY(DATE(Resumen!$B$2,4,M$5),2),1))</f>
        <v/>
      </c>
      <c r="N6" s="15">
        <f>IF(N$5="","",MID("LMXJVSD",WEEKDAY(DATE(Resumen!$B$2,4,N$5),2),1))</f>
        <v/>
      </c>
      <c r="O6" s="15">
        <f>IF(O$5="","",MID("LMXJVSD",WEEKDAY(DATE(Resumen!$B$2,4,O$5),2),1))</f>
        <v/>
      </c>
      <c r="P6" s="15">
        <f>IF(P$5="","",MID("LMXJVSD",WEEKDAY(DATE(Resumen!$B$2,4,P$5),2),1))</f>
        <v/>
      </c>
      <c r="Q6" s="15">
        <f>IF(Q$5="","",MID("LMXJVSD",WEEKDAY(DATE(Resumen!$B$2,4,Q$5),2),1))</f>
        <v/>
      </c>
      <c r="R6" s="15">
        <f>IF(R$5="","",MID("LMXJVSD",WEEKDAY(DATE(Resumen!$B$2,4,R$5),2),1))</f>
        <v/>
      </c>
      <c r="S6" s="15">
        <f>IF(S$5="","",MID("LMXJVSD",WEEKDAY(DATE(Resumen!$B$2,4,S$5),2),1))</f>
        <v/>
      </c>
      <c r="T6" s="15">
        <f>IF(T$5="","",MID("LMXJVSD",WEEKDAY(DATE(Resumen!$B$2,4,T$5),2),1))</f>
        <v/>
      </c>
      <c r="U6" s="15">
        <f>IF(U$5="","",MID("LMXJVSD",WEEKDAY(DATE(Resumen!$B$2,4,U$5),2),1))</f>
        <v/>
      </c>
      <c r="V6" s="15">
        <f>IF(V$5="","",MID("LMXJVSD",WEEKDAY(DATE(Resumen!$B$2,4,V$5),2),1))</f>
        <v/>
      </c>
      <c r="W6" s="15">
        <f>IF(W$5="","",MID("LMXJVSD",WEEKDAY(DATE(Resumen!$B$2,4,W$5),2),1))</f>
        <v/>
      </c>
      <c r="X6" s="15">
        <f>IF(X$5="","",MID("LMXJVSD",WEEKDAY(DATE(Resumen!$B$2,4,X$5),2),1))</f>
        <v/>
      </c>
      <c r="Y6" s="15">
        <f>IF(Y$5="","",MID("LMXJVSD",WEEKDAY(DATE(Resumen!$B$2,4,Y$5),2),1))</f>
        <v/>
      </c>
      <c r="Z6" s="15">
        <f>IF(Z$5="","",MID("LMXJVSD",WEEKDAY(DATE(Resumen!$B$2,4,Z$5),2),1))</f>
        <v/>
      </c>
      <c r="AA6" s="15">
        <f>IF(AA$5="","",MID("LMXJVSD",WEEKDAY(DATE(Resumen!$B$2,4,AA$5),2),1))</f>
        <v/>
      </c>
      <c r="AB6" s="15">
        <f>IF(AB$5="","",MID("LMXJVSD",WEEKDAY(DATE(Resumen!$B$2,4,AB$5),2),1))</f>
        <v/>
      </c>
      <c r="AC6" s="15">
        <f>IF(AC$5="","",MID("LMXJVSD",WEEKDAY(DATE(Resumen!$B$2,4,AC$5),2),1))</f>
        <v/>
      </c>
      <c r="AD6" s="15">
        <f>IF(AD$5="","",MID("LMXJVSD",WEEKDAY(DATE(Resumen!$B$2,4,AD$5),2),1))</f>
        <v/>
      </c>
      <c r="AE6" s="15">
        <f>IF(AE$5="","",MID("LMXJVSD",WEEKDAY(DATE(Resumen!$B$2,4,AE$5),2),1))</f>
        <v/>
      </c>
      <c r="AF6" s="15">
        <f>IF(AF$5="","",MID("LMXJVSD",WEEKDAY(DATE(Resumen!$B$2,4,AF$5),2),1))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IF(B$5="","",IF(COUNTIFS(Festivos!$A$5:$A$239,Resumen!$E$2,Festivos!$B$5:$B$239,DATE(Resumen!$B$2,4,B$5))+COUNTIF(Festivos!$E$5:$E$24,DATE(Resumen!$B$2,4,B$5))&gt;0,"F",""))</f>
        <v/>
      </c>
      <c r="C7" s="15">
        <f>IF(C$5="","",IF(COUNTIFS(Festivos!$A$5:$A$239,Resumen!$E$2,Festivos!$B$5:$B$239,DATE(Resumen!$B$2,4,C$5))+COUNTIF(Festivos!$E$5:$E$24,DATE(Resumen!$B$2,4,C$5))&gt;0,"F",""))</f>
        <v/>
      </c>
      <c r="D7" s="15">
        <f>IF(D$5="","",IF(COUNTIFS(Festivos!$A$5:$A$239,Resumen!$E$2,Festivos!$B$5:$B$239,DATE(Resumen!$B$2,4,D$5))+COUNTIF(Festivos!$E$5:$E$24,DATE(Resumen!$B$2,4,D$5))&gt;0,"F",""))</f>
        <v/>
      </c>
      <c r="E7" s="15">
        <f>IF(E$5="","",IF(COUNTIFS(Festivos!$A$5:$A$239,Resumen!$E$2,Festivos!$B$5:$B$239,DATE(Resumen!$B$2,4,E$5))+COUNTIF(Festivos!$E$5:$E$24,DATE(Resumen!$B$2,4,E$5))&gt;0,"F",""))</f>
        <v/>
      </c>
      <c r="F7" s="15">
        <f>IF(F$5="","",IF(COUNTIFS(Festivos!$A$5:$A$239,Resumen!$E$2,Festivos!$B$5:$B$239,DATE(Resumen!$B$2,4,F$5))+COUNTIF(Festivos!$E$5:$E$24,DATE(Resumen!$B$2,4,F$5))&gt;0,"F",""))</f>
        <v/>
      </c>
      <c r="G7" s="15">
        <f>IF(G$5="","",IF(COUNTIFS(Festivos!$A$5:$A$239,Resumen!$E$2,Festivos!$B$5:$B$239,DATE(Resumen!$B$2,4,G$5))+COUNTIF(Festivos!$E$5:$E$24,DATE(Resumen!$B$2,4,G$5))&gt;0,"F",""))</f>
        <v/>
      </c>
      <c r="H7" s="15">
        <f>IF(H$5="","",IF(COUNTIFS(Festivos!$A$5:$A$239,Resumen!$E$2,Festivos!$B$5:$B$239,DATE(Resumen!$B$2,4,H$5))+COUNTIF(Festivos!$E$5:$E$24,DATE(Resumen!$B$2,4,H$5))&gt;0,"F",""))</f>
        <v/>
      </c>
      <c r="I7" s="15">
        <f>IF(I$5="","",IF(COUNTIFS(Festivos!$A$5:$A$239,Resumen!$E$2,Festivos!$B$5:$B$239,DATE(Resumen!$B$2,4,I$5))+COUNTIF(Festivos!$E$5:$E$24,DATE(Resumen!$B$2,4,I$5))&gt;0,"F",""))</f>
        <v/>
      </c>
      <c r="J7" s="15">
        <f>IF(J$5="","",IF(COUNTIFS(Festivos!$A$5:$A$239,Resumen!$E$2,Festivos!$B$5:$B$239,DATE(Resumen!$B$2,4,J$5))+COUNTIF(Festivos!$E$5:$E$24,DATE(Resumen!$B$2,4,J$5))&gt;0,"F",""))</f>
        <v/>
      </c>
      <c r="K7" s="15">
        <f>IF(K$5="","",IF(COUNTIFS(Festivos!$A$5:$A$239,Resumen!$E$2,Festivos!$B$5:$B$239,DATE(Resumen!$B$2,4,K$5))+COUNTIF(Festivos!$E$5:$E$24,DATE(Resumen!$B$2,4,K$5))&gt;0,"F",""))</f>
        <v/>
      </c>
      <c r="L7" s="15">
        <f>IF(L$5="","",IF(COUNTIFS(Festivos!$A$5:$A$239,Resumen!$E$2,Festivos!$B$5:$B$239,DATE(Resumen!$B$2,4,L$5))+COUNTIF(Festivos!$E$5:$E$24,DATE(Resumen!$B$2,4,L$5))&gt;0,"F",""))</f>
        <v/>
      </c>
      <c r="M7" s="15">
        <f>IF(M$5="","",IF(COUNTIFS(Festivos!$A$5:$A$239,Resumen!$E$2,Festivos!$B$5:$B$239,DATE(Resumen!$B$2,4,M$5))+COUNTIF(Festivos!$E$5:$E$24,DATE(Resumen!$B$2,4,M$5))&gt;0,"F",""))</f>
        <v/>
      </c>
      <c r="N7" s="15">
        <f>IF(N$5="","",IF(COUNTIFS(Festivos!$A$5:$A$239,Resumen!$E$2,Festivos!$B$5:$B$239,DATE(Resumen!$B$2,4,N$5))+COUNTIF(Festivos!$E$5:$E$24,DATE(Resumen!$B$2,4,N$5))&gt;0,"F",""))</f>
        <v/>
      </c>
      <c r="O7" s="15">
        <f>IF(O$5="","",IF(COUNTIFS(Festivos!$A$5:$A$239,Resumen!$E$2,Festivos!$B$5:$B$239,DATE(Resumen!$B$2,4,O$5))+COUNTIF(Festivos!$E$5:$E$24,DATE(Resumen!$B$2,4,O$5))&gt;0,"F",""))</f>
        <v/>
      </c>
      <c r="P7" s="15">
        <f>IF(P$5="","",IF(COUNTIFS(Festivos!$A$5:$A$239,Resumen!$E$2,Festivos!$B$5:$B$239,DATE(Resumen!$B$2,4,P$5))+COUNTIF(Festivos!$E$5:$E$24,DATE(Resumen!$B$2,4,P$5))&gt;0,"F",""))</f>
        <v/>
      </c>
      <c r="Q7" s="15">
        <f>IF(Q$5="","",IF(COUNTIFS(Festivos!$A$5:$A$239,Resumen!$E$2,Festivos!$B$5:$B$239,DATE(Resumen!$B$2,4,Q$5))+COUNTIF(Festivos!$E$5:$E$24,DATE(Resumen!$B$2,4,Q$5))&gt;0,"F",""))</f>
        <v/>
      </c>
      <c r="R7" s="15">
        <f>IF(R$5="","",IF(COUNTIFS(Festivos!$A$5:$A$239,Resumen!$E$2,Festivos!$B$5:$B$239,DATE(Resumen!$B$2,4,R$5))+COUNTIF(Festivos!$E$5:$E$24,DATE(Resumen!$B$2,4,R$5))&gt;0,"F",""))</f>
        <v/>
      </c>
      <c r="S7" s="15">
        <f>IF(S$5="","",IF(COUNTIFS(Festivos!$A$5:$A$239,Resumen!$E$2,Festivos!$B$5:$B$239,DATE(Resumen!$B$2,4,S$5))+COUNTIF(Festivos!$E$5:$E$24,DATE(Resumen!$B$2,4,S$5))&gt;0,"F",""))</f>
        <v/>
      </c>
      <c r="T7" s="15">
        <f>IF(T$5="","",IF(COUNTIFS(Festivos!$A$5:$A$239,Resumen!$E$2,Festivos!$B$5:$B$239,DATE(Resumen!$B$2,4,T$5))+COUNTIF(Festivos!$E$5:$E$24,DATE(Resumen!$B$2,4,T$5))&gt;0,"F",""))</f>
        <v/>
      </c>
      <c r="U7" s="15">
        <f>IF(U$5="","",IF(COUNTIFS(Festivos!$A$5:$A$239,Resumen!$E$2,Festivos!$B$5:$B$239,DATE(Resumen!$B$2,4,U$5))+COUNTIF(Festivos!$E$5:$E$24,DATE(Resumen!$B$2,4,U$5))&gt;0,"F",""))</f>
        <v/>
      </c>
      <c r="V7" s="15">
        <f>IF(V$5="","",IF(COUNTIFS(Festivos!$A$5:$A$239,Resumen!$E$2,Festivos!$B$5:$B$239,DATE(Resumen!$B$2,4,V$5))+COUNTIF(Festivos!$E$5:$E$24,DATE(Resumen!$B$2,4,V$5))&gt;0,"F",""))</f>
        <v/>
      </c>
      <c r="W7" s="15">
        <f>IF(W$5="","",IF(COUNTIFS(Festivos!$A$5:$A$239,Resumen!$E$2,Festivos!$B$5:$B$239,DATE(Resumen!$B$2,4,W$5))+COUNTIF(Festivos!$E$5:$E$24,DATE(Resumen!$B$2,4,W$5))&gt;0,"F",""))</f>
        <v/>
      </c>
      <c r="X7" s="15">
        <f>IF(X$5="","",IF(COUNTIFS(Festivos!$A$5:$A$239,Resumen!$E$2,Festivos!$B$5:$B$239,DATE(Resumen!$B$2,4,X$5))+COUNTIF(Festivos!$E$5:$E$24,DATE(Resumen!$B$2,4,X$5))&gt;0,"F",""))</f>
        <v/>
      </c>
      <c r="Y7" s="15">
        <f>IF(Y$5="","",IF(COUNTIFS(Festivos!$A$5:$A$239,Resumen!$E$2,Festivos!$B$5:$B$239,DATE(Resumen!$B$2,4,Y$5))+COUNTIF(Festivos!$E$5:$E$24,DATE(Resumen!$B$2,4,Y$5))&gt;0,"F",""))</f>
        <v/>
      </c>
      <c r="Z7" s="15">
        <f>IF(Z$5="","",IF(COUNTIFS(Festivos!$A$5:$A$239,Resumen!$E$2,Festivos!$B$5:$B$239,DATE(Resumen!$B$2,4,Z$5))+COUNTIF(Festivos!$E$5:$E$24,DATE(Resumen!$B$2,4,Z$5))&gt;0,"F",""))</f>
        <v/>
      </c>
      <c r="AA7" s="15">
        <f>IF(AA$5="","",IF(COUNTIFS(Festivos!$A$5:$A$239,Resumen!$E$2,Festivos!$B$5:$B$239,DATE(Resumen!$B$2,4,AA$5))+COUNTIF(Festivos!$E$5:$E$24,DATE(Resumen!$B$2,4,AA$5))&gt;0,"F",""))</f>
        <v/>
      </c>
      <c r="AB7" s="15">
        <f>IF(AB$5="","",IF(COUNTIFS(Festivos!$A$5:$A$239,Resumen!$E$2,Festivos!$B$5:$B$239,DATE(Resumen!$B$2,4,AB$5))+COUNTIF(Festivos!$E$5:$E$24,DATE(Resumen!$B$2,4,AB$5))&gt;0,"F",""))</f>
        <v/>
      </c>
      <c r="AC7" s="15">
        <f>IF(AC$5="","",IF(COUNTIFS(Festivos!$A$5:$A$239,Resumen!$E$2,Festivos!$B$5:$B$239,DATE(Resumen!$B$2,4,AC$5))+COUNTIF(Festivos!$E$5:$E$24,DATE(Resumen!$B$2,4,AC$5))&gt;0,"F",""))</f>
        <v/>
      </c>
      <c r="AD7" s="15">
        <f>IF(AD$5="","",IF(COUNTIFS(Festivos!$A$5:$A$239,Resumen!$E$2,Festivos!$B$5:$B$239,DATE(Resumen!$B$2,4,AD$5))+COUNTIF(Festivos!$E$5:$E$24,DATE(Resumen!$B$2,4,AD$5))&gt;0,"F",""))</f>
        <v/>
      </c>
      <c r="AE7" s="15">
        <f>IF(AE$5="","",IF(COUNTIFS(Festivos!$A$5:$A$239,Resumen!$E$2,Festivos!$B$5:$B$239,DATE(Resumen!$B$2,4,AE$5))+COUNTIF(Festivos!$E$5:$E$24,DATE(Resumen!$B$2,4,AE$5))&gt;0,"F",""))</f>
        <v/>
      </c>
      <c r="AF7" s="15">
        <f>IF(AF$5="","",IF(COUNTIFS(Festivos!$A$5:$A$239,Resumen!$E$2,Festivos!$B$5:$B$239,DATE(Resumen!$B$2,4,AF$5))+COUNTIF(Festivos!$E$5:$E$24,DATE(Resumen!$B$2,4,AF$5))&gt;0,"F",""))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"Mayo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IF(1&lt;=DAY(EOMONTH(DATE(Resumen!$B$2,5,1),0)),1,"")</f>
        <v/>
      </c>
      <c r="C5" s="15">
        <f>IF(2&lt;=DAY(EOMONTH(DATE(Resumen!$B$2,5,1),0)),2,"")</f>
        <v/>
      </c>
      <c r="D5" s="15">
        <f>IF(3&lt;=DAY(EOMONTH(DATE(Resumen!$B$2,5,1),0)),3,"")</f>
        <v/>
      </c>
      <c r="E5" s="15">
        <f>IF(4&lt;=DAY(EOMONTH(DATE(Resumen!$B$2,5,1),0)),4,"")</f>
        <v/>
      </c>
      <c r="F5" s="15">
        <f>IF(5&lt;=DAY(EOMONTH(DATE(Resumen!$B$2,5,1),0)),5,"")</f>
        <v/>
      </c>
      <c r="G5" s="15">
        <f>IF(6&lt;=DAY(EOMONTH(DATE(Resumen!$B$2,5,1),0)),6,"")</f>
        <v/>
      </c>
      <c r="H5" s="15">
        <f>IF(7&lt;=DAY(EOMONTH(DATE(Resumen!$B$2,5,1),0)),7,"")</f>
        <v/>
      </c>
      <c r="I5" s="15">
        <f>IF(8&lt;=DAY(EOMONTH(DATE(Resumen!$B$2,5,1),0)),8,"")</f>
        <v/>
      </c>
      <c r="J5" s="15">
        <f>IF(9&lt;=DAY(EOMONTH(DATE(Resumen!$B$2,5,1),0)),9,"")</f>
        <v/>
      </c>
      <c r="K5" s="15">
        <f>IF(10&lt;=DAY(EOMONTH(DATE(Resumen!$B$2,5,1),0)),10,"")</f>
        <v/>
      </c>
      <c r="L5" s="15">
        <f>IF(11&lt;=DAY(EOMONTH(DATE(Resumen!$B$2,5,1),0)),11,"")</f>
        <v/>
      </c>
      <c r="M5" s="15">
        <f>IF(12&lt;=DAY(EOMONTH(DATE(Resumen!$B$2,5,1),0)),12,"")</f>
        <v/>
      </c>
      <c r="N5" s="15">
        <f>IF(13&lt;=DAY(EOMONTH(DATE(Resumen!$B$2,5,1),0)),13,"")</f>
        <v/>
      </c>
      <c r="O5" s="15">
        <f>IF(14&lt;=DAY(EOMONTH(DATE(Resumen!$B$2,5,1),0)),14,"")</f>
        <v/>
      </c>
      <c r="P5" s="15">
        <f>IF(15&lt;=DAY(EOMONTH(DATE(Resumen!$B$2,5,1),0)),15,"")</f>
        <v/>
      </c>
      <c r="Q5" s="15">
        <f>IF(16&lt;=DAY(EOMONTH(DATE(Resumen!$B$2,5,1),0)),16,"")</f>
        <v/>
      </c>
      <c r="R5" s="15">
        <f>IF(17&lt;=DAY(EOMONTH(DATE(Resumen!$B$2,5,1),0)),17,"")</f>
        <v/>
      </c>
      <c r="S5" s="15">
        <f>IF(18&lt;=DAY(EOMONTH(DATE(Resumen!$B$2,5,1),0)),18,"")</f>
        <v/>
      </c>
      <c r="T5" s="15">
        <f>IF(19&lt;=DAY(EOMONTH(DATE(Resumen!$B$2,5,1),0)),19,"")</f>
        <v/>
      </c>
      <c r="U5" s="15">
        <f>IF(20&lt;=DAY(EOMONTH(DATE(Resumen!$B$2,5,1),0)),20,"")</f>
        <v/>
      </c>
      <c r="V5" s="15">
        <f>IF(21&lt;=DAY(EOMONTH(DATE(Resumen!$B$2,5,1),0)),21,"")</f>
        <v/>
      </c>
      <c r="W5" s="15">
        <f>IF(22&lt;=DAY(EOMONTH(DATE(Resumen!$B$2,5,1),0)),22,"")</f>
        <v/>
      </c>
      <c r="X5" s="15">
        <f>IF(23&lt;=DAY(EOMONTH(DATE(Resumen!$B$2,5,1),0)),23,"")</f>
        <v/>
      </c>
      <c r="Y5" s="15">
        <f>IF(24&lt;=DAY(EOMONTH(DATE(Resumen!$B$2,5,1),0)),24,"")</f>
        <v/>
      </c>
      <c r="Z5" s="15">
        <f>IF(25&lt;=DAY(EOMONTH(DATE(Resumen!$B$2,5,1),0)),25,"")</f>
        <v/>
      </c>
      <c r="AA5" s="15">
        <f>IF(26&lt;=DAY(EOMONTH(DATE(Resumen!$B$2,5,1),0)),26,"")</f>
        <v/>
      </c>
      <c r="AB5" s="15">
        <f>IF(27&lt;=DAY(EOMONTH(DATE(Resumen!$B$2,5,1),0)),27,"")</f>
        <v/>
      </c>
      <c r="AC5" s="15">
        <f>IF(28&lt;=DAY(EOMONTH(DATE(Resumen!$B$2,5,1),0)),28,"")</f>
        <v/>
      </c>
      <c r="AD5" s="15">
        <f>IF(29&lt;=DAY(EOMONTH(DATE(Resumen!$B$2,5,1),0)),29,"")</f>
        <v/>
      </c>
      <c r="AE5" s="15">
        <f>IF(30&lt;=DAY(EOMONTH(DATE(Resumen!$B$2,5,1),0)),30,"")</f>
        <v/>
      </c>
      <c r="AF5" s="15">
        <f>IF(31&lt;=DAY(EOMONTH(DATE(Resumen!$B$2,5,1),0)),31,"")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IF(B$5="","",MID("LMXJVSD",WEEKDAY(DATE(Resumen!$B$2,5,B$5),2),1))</f>
        <v/>
      </c>
      <c r="C6" s="15">
        <f>IF(C$5="","",MID("LMXJVSD",WEEKDAY(DATE(Resumen!$B$2,5,C$5),2),1))</f>
        <v/>
      </c>
      <c r="D6" s="15">
        <f>IF(D$5="","",MID("LMXJVSD",WEEKDAY(DATE(Resumen!$B$2,5,D$5),2),1))</f>
        <v/>
      </c>
      <c r="E6" s="15">
        <f>IF(E$5="","",MID("LMXJVSD",WEEKDAY(DATE(Resumen!$B$2,5,E$5),2),1))</f>
        <v/>
      </c>
      <c r="F6" s="15">
        <f>IF(F$5="","",MID("LMXJVSD",WEEKDAY(DATE(Resumen!$B$2,5,F$5),2),1))</f>
        <v/>
      </c>
      <c r="G6" s="15">
        <f>IF(G$5="","",MID("LMXJVSD",WEEKDAY(DATE(Resumen!$B$2,5,G$5),2),1))</f>
        <v/>
      </c>
      <c r="H6" s="15">
        <f>IF(H$5="","",MID("LMXJVSD",WEEKDAY(DATE(Resumen!$B$2,5,H$5),2),1))</f>
        <v/>
      </c>
      <c r="I6" s="15">
        <f>IF(I$5="","",MID("LMXJVSD",WEEKDAY(DATE(Resumen!$B$2,5,I$5),2),1))</f>
        <v/>
      </c>
      <c r="J6" s="15">
        <f>IF(J$5="","",MID("LMXJVSD",WEEKDAY(DATE(Resumen!$B$2,5,J$5),2),1))</f>
        <v/>
      </c>
      <c r="K6" s="15">
        <f>IF(K$5="","",MID("LMXJVSD",WEEKDAY(DATE(Resumen!$B$2,5,K$5),2),1))</f>
        <v/>
      </c>
      <c r="L6" s="15">
        <f>IF(L$5="","",MID("LMXJVSD",WEEKDAY(DATE(Resumen!$B$2,5,L$5),2),1))</f>
        <v/>
      </c>
      <c r="M6" s="15">
        <f>IF(M$5="","",MID("LMXJVSD",WEEKDAY(DATE(Resumen!$B$2,5,M$5),2),1))</f>
        <v/>
      </c>
      <c r="N6" s="15">
        <f>IF(N$5="","",MID("LMXJVSD",WEEKDAY(DATE(Resumen!$B$2,5,N$5),2),1))</f>
        <v/>
      </c>
      <c r="O6" s="15">
        <f>IF(O$5="","",MID("LMXJVSD",WEEKDAY(DATE(Resumen!$B$2,5,O$5),2),1))</f>
        <v/>
      </c>
      <c r="P6" s="15">
        <f>IF(P$5="","",MID("LMXJVSD",WEEKDAY(DATE(Resumen!$B$2,5,P$5),2),1))</f>
        <v/>
      </c>
      <c r="Q6" s="15">
        <f>IF(Q$5="","",MID("LMXJVSD",WEEKDAY(DATE(Resumen!$B$2,5,Q$5),2),1))</f>
        <v/>
      </c>
      <c r="R6" s="15">
        <f>IF(R$5="","",MID("LMXJVSD",WEEKDAY(DATE(Resumen!$B$2,5,R$5),2),1))</f>
        <v/>
      </c>
      <c r="S6" s="15">
        <f>IF(S$5="","",MID("LMXJVSD",WEEKDAY(DATE(Resumen!$B$2,5,S$5),2),1))</f>
        <v/>
      </c>
      <c r="T6" s="15">
        <f>IF(T$5="","",MID("LMXJVSD",WEEKDAY(DATE(Resumen!$B$2,5,T$5),2),1))</f>
        <v/>
      </c>
      <c r="U6" s="15">
        <f>IF(U$5="","",MID("LMXJVSD",WEEKDAY(DATE(Resumen!$B$2,5,U$5),2),1))</f>
        <v/>
      </c>
      <c r="V6" s="15">
        <f>IF(V$5="","",MID("LMXJVSD",WEEKDAY(DATE(Resumen!$B$2,5,V$5),2),1))</f>
        <v/>
      </c>
      <c r="W6" s="15">
        <f>IF(W$5="","",MID("LMXJVSD",WEEKDAY(DATE(Resumen!$B$2,5,W$5),2),1))</f>
        <v/>
      </c>
      <c r="X6" s="15">
        <f>IF(X$5="","",MID("LMXJVSD",WEEKDAY(DATE(Resumen!$B$2,5,X$5),2),1))</f>
        <v/>
      </c>
      <c r="Y6" s="15">
        <f>IF(Y$5="","",MID("LMXJVSD",WEEKDAY(DATE(Resumen!$B$2,5,Y$5),2),1))</f>
        <v/>
      </c>
      <c r="Z6" s="15">
        <f>IF(Z$5="","",MID("LMXJVSD",WEEKDAY(DATE(Resumen!$B$2,5,Z$5),2),1))</f>
        <v/>
      </c>
      <c r="AA6" s="15">
        <f>IF(AA$5="","",MID("LMXJVSD",WEEKDAY(DATE(Resumen!$B$2,5,AA$5),2),1))</f>
        <v/>
      </c>
      <c r="AB6" s="15">
        <f>IF(AB$5="","",MID("LMXJVSD",WEEKDAY(DATE(Resumen!$B$2,5,AB$5),2),1))</f>
        <v/>
      </c>
      <c r="AC6" s="15">
        <f>IF(AC$5="","",MID("LMXJVSD",WEEKDAY(DATE(Resumen!$B$2,5,AC$5),2),1))</f>
        <v/>
      </c>
      <c r="AD6" s="15">
        <f>IF(AD$5="","",MID("LMXJVSD",WEEKDAY(DATE(Resumen!$B$2,5,AD$5),2),1))</f>
        <v/>
      </c>
      <c r="AE6" s="15">
        <f>IF(AE$5="","",MID("LMXJVSD",WEEKDAY(DATE(Resumen!$B$2,5,AE$5),2),1))</f>
        <v/>
      </c>
      <c r="AF6" s="15">
        <f>IF(AF$5="","",MID("LMXJVSD",WEEKDAY(DATE(Resumen!$B$2,5,AF$5),2),1))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IF(B$5="","",IF(COUNTIFS(Festivos!$A$5:$A$239,Resumen!$E$2,Festivos!$B$5:$B$239,DATE(Resumen!$B$2,5,B$5))+COUNTIF(Festivos!$E$5:$E$24,DATE(Resumen!$B$2,5,B$5))&gt;0,"F",""))</f>
        <v/>
      </c>
      <c r="C7" s="15">
        <f>IF(C$5="","",IF(COUNTIFS(Festivos!$A$5:$A$239,Resumen!$E$2,Festivos!$B$5:$B$239,DATE(Resumen!$B$2,5,C$5))+COUNTIF(Festivos!$E$5:$E$24,DATE(Resumen!$B$2,5,C$5))&gt;0,"F",""))</f>
        <v/>
      </c>
      <c r="D7" s="15">
        <f>IF(D$5="","",IF(COUNTIFS(Festivos!$A$5:$A$239,Resumen!$E$2,Festivos!$B$5:$B$239,DATE(Resumen!$B$2,5,D$5))+COUNTIF(Festivos!$E$5:$E$24,DATE(Resumen!$B$2,5,D$5))&gt;0,"F",""))</f>
        <v/>
      </c>
      <c r="E7" s="15">
        <f>IF(E$5="","",IF(COUNTIFS(Festivos!$A$5:$A$239,Resumen!$E$2,Festivos!$B$5:$B$239,DATE(Resumen!$B$2,5,E$5))+COUNTIF(Festivos!$E$5:$E$24,DATE(Resumen!$B$2,5,E$5))&gt;0,"F",""))</f>
        <v/>
      </c>
      <c r="F7" s="15">
        <f>IF(F$5="","",IF(COUNTIFS(Festivos!$A$5:$A$239,Resumen!$E$2,Festivos!$B$5:$B$239,DATE(Resumen!$B$2,5,F$5))+COUNTIF(Festivos!$E$5:$E$24,DATE(Resumen!$B$2,5,F$5))&gt;0,"F",""))</f>
        <v/>
      </c>
      <c r="G7" s="15">
        <f>IF(G$5="","",IF(COUNTIFS(Festivos!$A$5:$A$239,Resumen!$E$2,Festivos!$B$5:$B$239,DATE(Resumen!$B$2,5,G$5))+COUNTIF(Festivos!$E$5:$E$24,DATE(Resumen!$B$2,5,G$5))&gt;0,"F",""))</f>
        <v/>
      </c>
      <c r="H7" s="15">
        <f>IF(H$5="","",IF(COUNTIFS(Festivos!$A$5:$A$239,Resumen!$E$2,Festivos!$B$5:$B$239,DATE(Resumen!$B$2,5,H$5))+COUNTIF(Festivos!$E$5:$E$24,DATE(Resumen!$B$2,5,H$5))&gt;0,"F",""))</f>
        <v/>
      </c>
      <c r="I7" s="15">
        <f>IF(I$5="","",IF(COUNTIFS(Festivos!$A$5:$A$239,Resumen!$E$2,Festivos!$B$5:$B$239,DATE(Resumen!$B$2,5,I$5))+COUNTIF(Festivos!$E$5:$E$24,DATE(Resumen!$B$2,5,I$5))&gt;0,"F",""))</f>
        <v/>
      </c>
      <c r="J7" s="15">
        <f>IF(J$5="","",IF(COUNTIFS(Festivos!$A$5:$A$239,Resumen!$E$2,Festivos!$B$5:$B$239,DATE(Resumen!$B$2,5,J$5))+COUNTIF(Festivos!$E$5:$E$24,DATE(Resumen!$B$2,5,J$5))&gt;0,"F",""))</f>
        <v/>
      </c>
      <c r="K7" s="15">
        <f>IF(K$5="","",IF(COUNTIFS(Festivos!$A$5:$A$239,Resumen!$E$2,Festivos!$B$5:$B$239,DATE(Resumen!$B$2,5,K$5))+COUNTIF(Festivos!$E$5:$E$24,DATE(Resumen!$B$2,5,K$5))&gt;0,"F",""))</f>
        <v/>
      </c>
      <c r="L7" s="15">
        <f>IF(L$5="","",IF(COUNTIFS(Festivos!$A$5:$A$239,Resumen!$E$2,Festivos!$B$5:$B$239,DATE(Resumen!$B$2,5,L$5))+COUNTIF(Festivos!$E$5:$E$24,DATE(Resumen!$B$2,5,L$5))&gt;0,"F",""))</f>
        <v/>
      </c>
      <c r="M7" s="15">
        <f>IF(M$5="","",IF(COUNTIFS(Festivos!$A$5:$A$239,Resumen!$E$2,Festivos!$B$5:$B$239,DATE(Resumen!$B$2,5,M$5))+COUNTIF(Festivos!$E$5:$E$24,DATE(Resumen!$B$2,5,M$5))&gt;0,"F",""))</f>
        <v/>
      </c>
      <c r="N7" s="15">
        <f>IF(N$5="","",IF(COUNTIFS(Festivos!$A$5:$A$239,Resumen!$E$2,Festivos!$B$5:$B$239,DATE(Resumen!$B$2,5,N$5))+COUNTIF(Festivos!$E$5:$E$24,DATE(Resumen!$B$2,5,N$5))&gt;0,"F",""))</f>
        <v/>
      </c>
      <c r="O7" s="15">
        <f>IF(O$5="","",IF(COUNTIFS(Festivos!$A$5:$A$239,Resumen!$E$2,Festivos!$B$5:$B$239,DATE(Resumen!$B$2,5,O$5))+COUNTIF(Festivos!$E$5:$E$24,DATE(Resumen!$B$2,5,O$5))&gt;0,"F",""))</f>
        <v/>
      </c>
      <c r="P7" s="15">
        <f>IF(P$5="","",IF(COUNTIFS(Festivos!$A$5:$A$239,Resumen!$E$2,Festivos!$B$5:$B$239,DATE(Resumen!$B$2,5,P$5))+COUNTIF(Festivos!$E$5:$E$24,DATE(Resumen!$B$2,5,P$5))&gt;0,"F",""))</f>
        <v/>
      </c>
      <c r="Q7" s="15">
        <f>IF(Q$5="","",IF(COUNTIFS(Festivos!$A$5:$A$239,Resumen!$E$2,Festivos!$B$5:$B$239,DATE(Resumen!$B$2,5,Q$5))+COUNTIF(Festivos!$E$5:$E$24,DATE(Resumen!$B$2,5,Q$5))&gt;0,"F",""))</f>
        <v/>
      </c>
      <c r="R7" s="15">
        <f>IF(R$5="","",IF(COUNTIFS(Festivos!$A$5:$A$239,Resumen!$E$2,Festivos!$B$5:$B$239,DATE(Resumen!$B$2,5,R$5))+COUNTIF(Festivos!$E$5:$E$24,DATE(Resumen!$B$2,5,R$5))&gt;0,"F",""))</f>
        <v/>
      </c>
      <c r="S7" s="15">
        <f>IF(S$5="","",IF(COUNTIFS(Festivos!$A$5:$A$239,Resumen!$E$2,Festivos!$B$5:$B$239,DATE(Resumen!$B$2,5,S$5))+COUNTIF(Festivos!$E$5:$E$24,DATE(Resumen!$B$2,5,S$5))&gt;0,"F",""))</f>
        <v/>
      </c>
      <c r="T7" s="15">
        <f>IF(T$5="","",IF(COUNTIFS(Festivos!$A$5:$A$239,Resumen!$E$2,Festivos!$B$5:$B$239,DATE(Resumen!$B$2,5,T$5))+COUNTIF(Festivos!$E$5:$E$24,DATE(Resumen!$B$2,5,T$5))&gt;0,"F",""))</f>
        <v/>
      </c>
      <c r="U7" s="15">
        <f>IF(U$5="","",IF(COUNTIFS(Festivos!$A$5:$A$239,Resumen!$E$2,Festivos!$B$5:$B$239,DATE(Resumen!$B$2,5,U$5))+COUNTIF(Festivos!$E$5:$E$24,DATE(Resumen!$B$2,5,U$5))&gt;0,"F",""))</f>
        <v/>
      </c>
      <c r="V7" s="15">
        <f>IF(V$5="","",IF(COUNTIFS(Festivos!$A$5:$A$239,Resumen!$E$2,Festivos!$B$5:$B$239,DATE(Resumen!$B$2,5,V$5))+COUNTIF(Festivos!$E$5:$E$24,DATE(Resumen!$B$2,5,V$5))&gt;0,"F",""))</f>
        <v/>
      </c>
      <c r="W7" s="15">
        <f>IF(W$5="","",IF(COUNTIFS(Festivos!$A$5:$A$239,Resumen!$E$2,Festivos!$B$5:$B$239,DATE(Resumen!$B$2,5,W$5))+COUNTIF(Festivos!$E$5:$E$24,DATE(Resumen!$B$2,5,W$5))&gt;0,"F",""))</f>
        <v/>
      </c>
      <c r="X7" s="15">
        <f>IF(X$5="","",IF(COUNTIFS(Festivos!$A$5:$A$239,Resumen!$E$2,Festivos!$B$5:$B$239,DATE(Resumen!$B$2,5,X$5))+COUNTIF(Festivos!$E$5:$E$24,DATE(Resumen!$B$2,5,X$5))&gt;0,"F",""))</f>
        <v/>
      </c>
      <c r="Y7" s="15">
        <f>IF(Y$5="","",IF(COUNTIFS(Festivos!$A$5:$A$239,Resumen!$E$2,Festivos!$B$5:$B$239,DATE(Resumen!$B$2,5,Y$5))+COUNTIF(Festivos!$E$5:$E$24,DATE(Resumen!$B$2,5,Y$5))&gt;0,"F",""))</f>
        <v/>
      </c>
      <c r="Z7" s="15">
        <f>IF(Z$5="","",IF(COUNTIFS(Festivos!$A$5:$A$239,Resumen!$E$2,Festivos!$B$5:$B$239,DATE(Resumen!$B$2,5,Z$5))+COUNTIF(Festivos!$E$5:$E$24,DATE(Resumen!$B$2,5,Z$5))&gt;0,"F",""))</f>
        <v/>
      </c>
      <c r="AA7" s="15">
        <f>IF(AA$5="","",IF(COUNTIFS(Festivos!$A$5:$A$239,Resumen!$E$2,Festivos!$B$5:$B$239,DATE(Resumen!$B$2,5,AA$5))+COUNTIF(Festivos!$E$5:$E$24,DATE(Resumen!$B$2,5,AA$5))&gt;0,"F",""))</f>
        <v/>
      </c>
      <c r="AB7" s="15">
        <f>IF(AB$5="","",IF(COUNTIFS(Festivos!$A$5:$A$239,Resumen!$E$2,Festivos!$B$5:$B$239,DATE(Resumen!$B$2,5,AB$5))+COUNTIF(Festivos!$E$5:$E$24,DATE(Resumen!$B$2,5,AB$5))&gt;0,"F",""))</f>
        <v/>
      </c>
      <c r="AC7" s="15">
        <f>IF(AC$5="","",IF(COUNTIFS(Festivos!$A$5:$A$239,Resumen!$E$2,Festivos!$B$5:$B$239,DATE(Resumen!$B$2,5,AC$5))+COUNTIF(Festivos!$E$5:$E$24,DATE(Resumen!$B$2,5,AC$5))&gt;0,"F",""))</f>
        <v/>
      </c>
      <c r="AD7" s="15">
        <f>IF(AD$5="","",IF(COUNTIFS(Festivos!$A$5:$A$239,Resumen!$E$2,Festivos!$B$5:$B$239,DATE(Resumen!$B$2,5,AD$5))+COUNTIF(Festivos!$E$5:$E$24,DATE(Resumen!$B$2,5,AD$5))&gt;0,"F",""))</f>
        <v/>
      </c>
      <c r="AE7" s="15">
        <f>IF(AE$5="","",IF(COUNTIFS(Festivos!$A$5:$A$239,Resumen!$E$2,Festivos!$B$5:$B$239,DATE(Resumen!$B$2,5,AE$5))+COUNTIF(Festivos!$E$5:$E$24,DATE(Resumen!$B$2,5,AE$5))&gt;0,"F",""))</f>
        <v/>
      </c>
      <c r="AF7" s="15">
        <f>IF(AF$5="","",IF(COUNTIFS(Festivos!$A$5:$A$239,Resumen!$E$2,Festivos!$B$5:$B$239,DATE(Resumen!$B$2,5,AF$5))+COUNTIF(Festivos!$E$5:$E$24,DATE(Resumen!$B$2,5,AF$5))&gt;0,"F",""))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"Junio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IF(1&lt;=DAY(EOMONTH(DATE(Resumen!$B$2,6,1),0)),1,"")</f>
        <v/>
      </c>
      <c r="C5" s="15">
        <f>IF(2&lt;=DAY(EOMONTH(DATE(Resumen!$B$2,6,1),0)),2,"")</f>
        <v/>
      </c>
      <c r="D5" s="15">
        <f>IF(3&lt;=DAY(EOMONTH(DATE(Resumen!$B$2,6,1),0)),3,"")</f>
        <v/>
      </c>
      <c r="E5" s="15">
        <f>IF(4&lt;=DAY(EOMONTH(DATE(Resumen!$B$2,6,1),0)),4,"")</f>
        <v/>
      </c>
      <c r="F5" s="15">
        <f>IF(5&lt;=DAY(EOMONTH(DATE(Resumen!$B$2,6,1),0)),5,"")</f>
        <v/>
      </c>
      <c r="G5" s="15">
        <f>IF(6&lt;=DAY(EOMONTH(DATE(Resumen!$B$2,6,1),0)),6,"")</f>
        <v/>
      </c>
      <c r="H5" s="15">
        <f>IF(7&lt;=DAY(EOMONTH(DATE(Resumen!$B$2,6,1),0)),7,"")</f>
        <v/>
      </c>
      <c r="I5" s="15">
        <f>IF(8&lt;=DAY(EOMONTH(DATE(Resumen!$B$2,6,1),0)),8,"")</f>
        <v/>
      </c>
      <c r="J5" s="15">
        <f>IF(9&lt;=DAY(EOMONTH(DATE(Resumen!$B$2,6,1),0)),9,"")</f>
        <v/>
      </c>
      <c r="K5" s="15">
        <f>IF(10&lt;=DAY(EOMONTH(DATE(Resumen!$B$2,6,1),0)),10,"")</f>
        <v/>
      </c>
      <c r="L5" s="15">
        <f>IF(11&lt;=DAY(EOMONTH(DATE(Resumen!$B$2,6,1),0)),11,"")</f>
        <v/>
      </c>
      <c r="M5" s="15">
        <f>IF(12&lt;=DAY(EOMONTH(DATE(Resumen!$B$2,6,1),0)),12,"")</f>
        <v/>
      </c>
      <c r="N5" s="15">
        <f>IF(13&lt;=DAY(EOMONTH(DATE(Resumen!$B$2,6,1),0)),13,"")</f>
        <v/>
      </c>
      <c r="O5" s="15">
        <f>IF(14&lt;=DAY(EOMONTH(DATE(Resumen!$B$2,6,1),0)),14,"")</f>
        <v/>
      </c>
      <c r="P5" s="15">
        <f>IF(15&lt;=DAY(EOMONTH(DATE(Resumen!$B$2,6,1),0)),15,"")</f>
        <v/>
      </c>
      <c r="Q5" s="15">
        <f>IF(16&lt;=DAY(EOMONTH(DATE(Resumen!$B$2,6,1),0)),16,"")</f>
        <v/>
      </c>
      <c r="R5" s="15">
        <f>IF(17&lt;=DAY(EOMONTH(DATE(Resumen!$B$2,6,1),0)),17,"")</f>
        <v/>
      </c>
      <c r="S5" s="15">
        <f>IF(18&lt;=DAY(EOMONTH(DATE(Resumen!$B$2,6,1),0)),18,"")</f>
        <v/>
      </c>
      <c r="T5" s="15">
        <f>IF(19&lt;=DAY(EOMONTH(DATE(Resumen!$B$2,6,1),0)),19,"")</f>
        <v/>
      </c>
      <c r="U5" s="15">
        <f>IF(20&lt;=DAY(EOMONTH(DATE(Resumen!$B$2,6,1),0)),20,"")</f>
        <v/>
      </c>
      <c r="V5" s="15">
        <f>IF(21&lt;=DAY(EOMONTH(DATE(Resumen!$B$2,6,1),0)),21,"")</f>
        <v/>
      </c>
      <c r="W5" s="15">
        <f>IF(22&lt;=DAY(EOMONTH(DATE(Resumen!$B$2,6,1),0)),22,"")</f>
        <v/>
      </c>
      <c r="X5" s="15">
        <f>IF(23&lt;=DAY(EOMONTH(DATE(Resumen!$B$2,6,1),0)),23,"")</f>
        <v/>
      </c>
      <c r="Y5" s="15">
        <f>IF(24&lt;=DAY(EOMONTH(DATE(Resumen!$B$2,6,1),0)),24,"")</f>
        <v/>
      </c>
      <c r="Z5" s="15">
        <f>IF(25&lt;=DAY(EOMONTH(DATE(Resumen!$B$2,6,1),0)),25,"")</f>
        <v/>
      </c>
      <c r="AA5" s="15">
        <f>IF(26&lt;=DAY(EOMONTH(DATE(Resumen!$B$2,6,1),0)),26,"")</f>
        <v/>
      </c>
      <c r="AB5" s="15">
        <f>IF(27&lt;=DAY(EOMONTH(DATE(Resumen!$B$2,6,1),0)),27,"")</f>
        <v/>
      </c>
      <c r="AC5" s="15">
        <f>IF(28&lt;=DAY(EOMONTH(DATE(Resumen!$B$2,6,1),0)),28,"")</f>
        <v/>
      </c>
      <c r="AD5" s="15">
        <f>IF(29&lt;=DAY(EOMONTH(DATE(Resumen!$B$2,6,1),0)),29,"")</f>
        <v/>
      </c>
      <c r="AE5" s="15">
        <f>IF(30&lt;=DAY(EOMONTH(DATE(Resumen!$B$2,6,1),0)),30,"")</f>
        <v/>
      </c>
      <c r="AF5" s="15">
        <f>IF(31&lt;=DAY(EOMONTH(DATE(Resumen!$B$2,6,1),0)),31,"")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IF(B$5="","",MID("LMXJVSD",WEEKDAY(DATE(Resumen!$B$2,6,B$5),2),1))</f>
        <v/>
      </c>
      <c r="C6" s="15">
        <f>IF(C$5="","",MID("LMXJVSD",WEEKDAY(DATE(Resumen!$B$2,6,C$5),2),1))</f>
        <v/>
      </c>
      <c r="D6" s="15">
        <f>IF(D$5="","",MID("LMXJVSD",WEEKDAY(DATE(Resumen!$B$2,6,D$5),2),1))</f>
        <v/>
      </c>
      <c r="E6" s="15">
        <f>IF(E$5="","",MID("LMXJVSD",WEEKDAY(DATE(Resumen!$B$2,6,E$5),2),1))</f>
        <v/>
      </c>
      <c r="F6" s="15">
        <f>IF(F$5="","",MID("LMXJVSD",WEEKDAY(DATE(Resumen!$B$2,6,F$5),2),1))</f>
        <v/>
      </c>
      <c r="G6" s="15">
        <f>IF(G$5="","",MID("LMXJVSD",WEEKDAY(DATE(Resumen!$B$2,6,G$5),2),1))</f>
        <v/>
      </c>
      <c r="H6" s="15">
        <f>IF(H$5="","",MID("LMXJVSD",WEEKDAY(DATE(Resumen!$B$2,6,H$5),2),1))</f>
        <v/>
      </c>
      <c r="I6" s="15">
        <f>IF(I$5="","",MID("LMXJVSD",WEEKDAY(DATE(Resumen!$B$2,6,I$5),2),1))</f>
        <v/>
      </c>
      <c r="J6" s="15">
        <f>IF(J$5="","",MID("LMXJVSD",WEEKDAY(DATE(Resumen!$B$2,6,J$5),2),1))</f>
        <v/>
      </c>
      <c r="K6" s="15">
        <f>IF(K$5="","",MID("LMXJVSD",WEEKDAY(DATE(Resumen!$B$2,6,K$5),2),1))</f>
        <v/>
      </c>
      <c r="L6" s="15">
        <f>IF(L$5="","",MID("LMXJVSD",WEEKDAY(DATE(Resumen!$B$2,6,L$5),2),1))</f>
        <v/>
      </c>
      <c r="M6" s="15">
        <f>IF(M$5="","",MID("LMXJVSD",WEEKDAY(DATE(Resumen!$B$2,6,M$5),2),1))</f>
        <v/>
      </c>
      <c r="N6" s="15">
        <f>IF(N$5="","",MID("LMXJVSD",WEEKDAY(DATE(Resumen!$B$2,6,N$5),2),1))</f>
        <v/>
      </c>
      <c r="O6" s="15">
        <f>IF(O$5="","",MID("LMXJVSD",WEEKDAY(DATE(Resumen!$B$2,6,O$5),2),1))</f>
        <v/>
      </c>
      <c r="P6" s="15">
        <f>IF(P$5="","",MID("LMXJVSD",WEEKDAY(DATE(Resumen!$B$2,6,P$5),2),1))</f>
        <v/>
      </c>
      <c r="Q6" s="15">
        <f>IF(Q$5="","",MID("LMXJVSD",WEEKDAY(DATE(Resumen!$B$2,6,Q$5),2),1))</f>
        <v/>
      </c>
      <c r="R6" s="15">
        <f>IF(R$5="","",MID("LMXJVSD",WEEKDAY(DATE(Resumen!$B$2,6,R$5),2),1))</f>
        <v/>
      </c>
      <c r="S6" s="15">
        <f>IF(S$5="","",MID("LMXJVSD",WEEKDAY(DATE(Resumen!$B$2,6,S$5),2),1))</f>
        <v/>
      </c>
      <c r="T6" s="15">
        <f>IF(T$5="","",MID("LMXJVSD",WEEKDAY(DATE(Resumen!$B$2,6,T$5),2),1))</f>
        <v/>
      </c>
      <c r="U6" s="15">
        <f>IF(U$5="","",MID("LMXJVSD",WEEKDAY(DATE(Resumen!$B$2,6,U$5),2),1))</f>
        <v/>
      </c>
      <c r="V6" s="15">
        <f>IF(V$5="","",MID("LMXJVSD",WEEKDAY(DATE(Resumen!$B$2,6,V$5),2),1))</f>
        <v/>
      </c>
      <c r="W6" s="15">
        <f>IF(W$5="","",MID("LMXJVSD",WEEKDAY(DATE(Resumen!$B$2,6,W$5),2),1))</f>
        <v/>
      </c>
      <c r="X6" s="15">
        <f>IF(X$5="","",MID("LMXJVSD",WEEKDAY(DATE(Resumen!$B$2,6,X$5),2),1))</f>
        <v/>
      </c>
      <c r="Y6" s="15">
        <f>IF(Y$5="","",MID("LMXJVSD",WEEKDAY(DATE(Resumen!$B$2,6,Y$5),2),1))</f>
        <v/>
      </c>
      <c r="Z6" s="15">
        <f>IF(Z$5="","",MID("LMXJVSD",WEEKDAY(DATE(Resumen!$B$2,6,Z$5),2),1))</f>
        <v/>
      </c>
      <c r="AA6" s="15">
        <f>IF(AA$5="","",MID("LMXJVSD",WEEKDAY(DATE(Resumen!$B$2,6,AA$5),2),1))</f>
        <v/>
      </c>
      <c r="AB6" s="15">
        <f>IF(AB$5="","",MID("LMXJVSD",WEEKDAY(DATE(Resumen!$B$2,6,AB$5),2),1))</f>
        <v/>
      </c>
      <c r="AC6" s="15">
        <f>IF(AC$5="","",MID("LMXJVSD",WEEKDAY(DATE(Resumen!$B$2,6,AC$5),2),1))</f>
        <v/>
      </c>
      <c r="AD6" s="15">
        <f>IF(AD$5="","",MID("LMXJVSD",WEEKDAY(DATE(Resumen!$B$2,6,AD$5),2),1))</f>
        <v/>
      </c>
      <c r="AE6" s="15">
        <f>IF(AE$5="","",MID("LMXJVSD",WEEKDAY(DATE(Resumen!$B$2,6,AE$5),2),1))</f>
        <v/>
      </c>
      <c r="AF6" s="15">
        <f>IF(AF$5="","",MID("LMXJVSD",WEEKDAY(DATE(Resumen!$B$2,6,AF$5),2),1))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IF(B$5="","",IF(COUNTIFS(Festivos!$A$5:$A$239,Resumen!$E$2,Festivos!$B$5:$B$239,DATE(Resumen!$B$2,6,B$5))+COUNTIF(Festivos!$E$5:$E$24,DATE(Resumen!$B$2,6,B$5))&gt;0,"F",""))</f>
        <v/>
      </c>
      <c r="C7" s="15">
        <f>IF(C$5="","",IF(COUNTIFS(Festivos!$A$5:$A$239,Resumen!$E$2,Festivos!$B$5:$B$239,DATE(Resumen!$B$2,6,C$5))+COUNTIF(Festivos!$E$5:$E$24,DATE(Resumen!$B$2,6,C$5))&gt;0,"F",""))</f>
        <v/>
      </c>
      <c r="D7" s="15">
        <f>IF(D$5="","",IF(COUNTIFS(Festivos!$A$5:$A$239,Resumen!$E$2,Festivos!$B$5:$B$239,DATE(Resumen!$B$2,6,D$5))+COUNTIF(Festivos!$E$5:$E$24,DATE(Resumen!$B$2,6,D$5))&gt;0,"F",""))</f>
        <v/>
      </c>
      <c r="E7" s="15">
        <f>IF(E$5="","",IF(COUNTIFS(Festivos!$A$5:$A$239,Resumen!$E$2,Festivos!$B$5:$B$239,DATE(Resumen!$B$2,6,E$5))+COUNTIF(Festivos!$E$5:$E$24,DATE(Resumen!$B$2,6,E$5))&gt;0,"F",""))</f>
        <v/>
      </c>
      <c r="F7" s="15">
        <f>IF(F$5="","",IF(COUNTIFS(Festivos!$A$5:$A$239,Resumen!$E$2,Festivos!$B$5:$B$239,DATE(Resumen!$B$2,6,F$5))+COUNTIF(Festivos!$E$5:$E$24,DATE(Resumen!$B$2,6,F$5))&gt;0,"F",""))</f>
        <v/>
      </c>
      <c r="G7" s="15">
        <f>IF(G$5="","",IF(COUNTIFS(Festivos!$A$5:$A$239,Resumen!$E$2,Festivos!$B$5:$B$239,DATE(Resumen!$B$2,6,G$5))+COUNTIF(Festivos!$E$5:$E$24,DATE(Resumen!$B$2,6,G$5))&gt;0,"F",""))</f>
        <v/>
      </c>
      <c r="H7" s="15">
        <f>IF(H$5="","",IF(COUNTIFS(Festivos!$A$5:$A$239,Resumen!$E$2,Festivos!$B$5:$B$239,DATE(Resumen!$B$2,6,H$5))+COUNTIF(Festivos!$E$5:$E$24,DATE(Resumen!$B$2,6,H$5))&gt;0,"F",""))</f>
        <v/>
      </c>
      <c r="I7" s="15">
        <f>IF(I$5="","",IF(COUNTIFS(Festivos!$A$5:$A$239,Resumen!$E$2,Festivos!$B$5:$B$239,DATE(Resumen!$B$2,6,I$5))+COUNTIF(Festivos!$E$5:$E$24,DATE(Resumen!$B$2,6,I$5))&gt;0,"F",""))</f>
        <v/>
      </c>
      <c r="J7" s="15">
        <f>IF(J$5="","",IF(COUNTIFS(Festivos!$A$5:$A$239,Resumen!$E$2,Festivos!$B$5:$B$239,DATE(Resumen!$B$2,6,J$5))+COUNTIF(Festivos!$E$5:$E$24,DATE(Resumen!$B$2,6,J$5))&gt;0,"F",""))</f>
        <v/>
      </c>
      <c r="K7" s="15">
        <f>IF(K$5="","",IF(COUNTIFS(Festivos!$A$5:$A$239,Resumen!$E$2,Festivos!$B$5:$B$239,DATE(Resumen!$B$2,6,K$5))+COUNTIF(Festivos!$E$5:$E$24,DATE(Resumen!$B$2,6,K$5))&gt;0,"F",""))</f>
        <v/>
      </c>
      <c r="L7" s="15">
        <f>IF(L$5="","",IF(COUNTIFS(Festivos!$A$5:$A$239,Resumen!$E$2,Festivos!$B$5:$B$239,DATE(Resumen!$B$2,6,L$5))+COUNTIF(Festivos!$E$5:$E$24,DATE(Resumen!$B$2,6,L$5))&gt;0,"F",""))</f>
        <v/>
      </c>
      <c r="M7" s="15">
        <f>IF(M$5="","",IF(COUNTIFS(Festivos!$A$5:$A$239,Resumen!$E$2,Festivos!$B$5:$B$239,DATE(Resumen!$B$2,6,M$5))+COUNTIF(Festivos!$E$5:$E$24,DATE(Resumen!$B$2,6,M$5))&gt;0,"F",""))</f>
        <v/>
      </c>
      <c r="N7" s="15">
        <f>IF(N$5="","",IF(COUNTIFS(Festivos!$A$5:$A$239,Resumen!$E$2,Festivos!$B$5:$B$239,DATE(Resumen!$B$2,6,N$5))+COUNTIF(Festivos!$E$5:$E$24,DATE(Resumen!$B$2,6,N$5))&gt;0,"F",""))</f>
        <v/>
      </c>
      <c r="O7" s="15">
        <f>IF(O$5="","",IF(COUNTIFS(Festivos!$A$5:$A$239,Resumen!$E$2,Festivos!$B$5:$B$239,DATE(Resumen!$B$2,6,O$5))+COUNTIF(Festivos!$E$5:$E$24,DATE(Resumen!$B$2,6,O$5))&gt;0,"F",""))</f>
        <v/>
      </c>
      <c r="P7" s="15">
        <f>IF(P$5="","",IF(COUNTIFS(Festivos!$A$5:$A$239,Resumen!$E$2,Festivos!$B$5:$B$239,DATE(Resumen!$B$2,6,P$5))+COUNTIF(Festivos!$E$5:$E$24,DATE(Resumen!$B$2,6,P$5))&gt;0,"F",""))</f>
        <v/>
      </c>
      <c r="Q7" s="15">
        <f>IF(Q$5="","",IF(COUNTIFS(Festivos!$A$5:$A$239,Resumen!$E$2,Festivos!$B$5:$B$239,DATE(Resumen!$B$2,6,Q$5))+COUNTIF(Festivos!$E$5:$E$24,DATE(Resumen!$B$2,6,Q$5))&gt;0,"F",""))</f>
        <v/>
      </c>
      <c r="R7" s="15">
        <f>IF(R$5="","",IF(COUNTIFS(Festivos!$A$5:$A$239,Resumen!$E$2,Festivos!$B$5:$B$239,DATE(Resumen!$B$2,6,R$5))+COUNTIF(Festivos!$E$5:$E$24,DATE(Resumen!$B$2,6,R$5))&gt;0,"F",""))</f>
        <v/>
      </c>
      <c r="S7" s="15">
        <f>IF(S$5="","",IF(COUNTIFS(Festivos!$A$5:$A$239,Resumen!$E$2,Festivos!$B$5:$B$239,DATE(Resumen!$B$2,6,S$5))+COUNTIF(Festivos!$E$5:$E$24,DATE(Resumen!$B$2,6,S$5))&gt;0,"F",""))</f>
        <v/>
      </c>
      <c r="T7" s="15">
        <f>IF(T$5="","",IF(COUNTIFS(Festivos!$A$5:$A$239,Resumen!$E$2,Festivos!$B$5:$B$239,DATE(Resumen!$B$2,6,T$5))+COUNTIF(Festivos!$E$5:$E$24,DATE(Resumen!$B$2,6,T$5))&gt;0,"F",""))</f>
        <v/>
      </c>
      <c r="U7" s="15">
        <f>IF(U$5="","",IF(COUNTIFS(Festivos!$A$5:$A$239,Resumen!$E$2,Festivos!$B$5:$B$239,DATE(Resumen!$B$2,6,U$5))+COUNTIF(Festivos!$E$5:$E$24,DATE(Resumen!$B$2,6,U$5))&gt;0,"F",""))</f>
        <v/>
      </c>
      <c r="V7" s="15">
        <f>IF(V$5="","",IF(COUNTIFS(Festivos!$A$5:$A$239,Resumen!$E$2,Festivos!$B$5:$B$239,DATE(Resumen!$B$2,6,V$5))+COUNTIF(Festivos!$E$5:$E$24,DATE(Resumen!$B$2,6,V$5))&gt;0,"F",""))</f>
        <v/>
      </c>
      <c r="W7" s="15">
        <f>IF(W$5="","",IF(COUNTIFS(Festivos!$A$5:$A$239,Resumen!$E$2,Festivos!$B$5:$B$239,DATE(Resumen!$B$2,6,W$5))+COUNTIF(Festivos!$E$5:$E$24,DATE(Resumen!$B$2,6,W$5))&gt;0,"F",""))</f>
        <v/>
      </c>
      <c r="X7" s="15">
        <f>IF(X$5="","",IF(COUNTIFS(Festivos!$A$5:$A$239,Resumen!$E$2,Festivos!$B$5:$B$239,DATE(Resumen!$B$2,6,X$5))+COUNTIF(Festivos!$E$5:$E$24,DATE(Resumen!$B$2,6,X$5))&gt;0,"F",""))</f>
        <v/>
      </c>
      <c r="Y7" s="15">
        <f>IF(Y$5="","",IF(COUNTIFS(Festivos!$A$5:$A$239,Resumen!$E$2,Festivos!$B$5:$B$239,DATE(Resumen!$B$2,6,Y$5))+COUNTIF(Festivos!$E$5:$E$24,DATE(Resumen!$B$2,6,Y$5))&gt;0,"F",""))</f>
        <v/>
      </c>
      <c r="Z7" s="15">
        <f>IF(Z$5="","",IF(COUNTIFS(Festivos!$A$5:$A$239,Resumen!$E$2,Festivos!$B$5:$B$239,DATE(Resumen!$B$2,6,Z$5))+COUNTIF(Festivos!$E$5:$E$24,DATE(Resumen!$B$2,6,Z$5))&gt;0,"F",""))</f>
        <v/>
      </c>
      <c r="AA7" s="15">
        <f>IF(AA$5="","",IF(COUNTIFS(Festivos!$A$5:$A$239,Resumen!$E$2,Festivos!$B$5:$B$239,DATE(Resumen!$B$2,6,AA$5))+COUNTIF(Festivos!$E$5:$E$24,DATE(Resumen!$B$2,6,AA$5))&gt;0,"F",""))</f>
        <v/>
      </c>
      <c r="AB7" s="15">
        <f>IF(AB$5="","",IF(COUNTIFS(Festivos!$A$5:$A$239,Resumen!$E$2,Festivos!$B$5:$B$239,DATE(Resumen!$B$2,6,AB$5))+COUNTIF(Festivos!$E$5:$E$24,DATE(Resumen!$B$2,6,AB$5))&gt;0,"F",""))</f>
        <v/>
      </c>
      <c r="AC7" s="15">
        <f>IF(AC$5="","",IF(COUNTIFS(Festivos!$A$5:$A$239,Resumen!$E$2,Festivos!$B$5:$B$239,DATE(Resumen!$B$2,6,AC$5))+COUNTIF(Festivos!$E$5:$E$24,DATE(Resumen!$B$2,6,AC$5))&gt;0,"F",""))</f>
        <v/>
      </c>
      <c r="AD7" s="15">
        <f>IF(AD$5="","",IF(COUNTIFS(Festivos!$A$5:$A$239,Resumen!$E$2,Festivos!$B$5:$B$239,DATE(Resumen!$B$2,6,AD$5))+COUNTIF(Festivos!$E$5:$E$24,DATE(Resumen!$B$2,6,AD$5))&gt;0,"F",""))</f>
        <v/>
      </c>
      <c r="AE7" s="15">
        <f>IF(AE$5="","",IF(COUNTIFS(Festivos!$A$5:$A$239,Resumen!$E$2,Festivos!$B$5:$B$239,DATE(Resumen!$B$2,6,AE$5))+COUNTIF(Festivos!$E$5:$E$24,DATE(Resumen!$B$2,6,AE$5))&gt;0,"F",""))</f>
        <v/>
      </c>
      <c r="AF7" s="15">
        <f>IF(AF$5="","",IF(COUNTIFS(Festivos!$A$5:$A$239,Resumen!$E$2,Festivos!$B$5:$B$239,DATE(Resumen!$B$2,6,AF$5))+COUNTIF(Festivos!$E$5:$E$24,DATE(Resumen!$B$2,6,AF$5))&gt;0,"F",""))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"Julio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IF(1&lt;=DAY(EOMONTH(DATE(Resumen!$B$2,7,1),0)),1,"")</f>
        <v/>
      </c>
      <c r="C5" s="15">
        <f>IF(2&lt;=DAY(EOMONTH(DATE(Resumen!$B$2,7,1),0)),2,"")</f>
        <v/>
      </c>
      <c r="D5" s="15">
        <f>IF(3&lt;=DAY(EOMONTH(DATE(Resumen!$B$2,7,1),0)),3,"")</f>
        <v/>
      </c>
      <c r="E5" s="15">
        <f>IF(4&lt;=DAY(EOMONTH(DATE(Resumen!$B$2,7,1),0)),4,"")</f>
        <v/>
      </c>
      <c r="F5" s="15">
        <f>IF(5&lt;=DAY(EOMONTH(DATE(Resumen!$B$2,7,1),0)),5,"")</f>
        <v/>
      </c>
      <c r="G5" s="15">
        <f>IF(6&lt;=DAY(EOMONTH(DATE(Resumen!$B$2,7,1),0)),6,"")</f>
        <v/>
      </c>
      <c r="H5" s="15">
        <f>IF(7&lt;=DAY(EOMONTH(DATE(Resumen!$B$2,7,1),0)),7,"")</f>
        <v/>
      </c>
      <c r="I5" s="15">
        <f>IF(8&lt;=DAY(EOMONTH(DATE(Resumen!$B$2,7,1),0)),8,"")</f>
        <v/>
      </c>
      <c r="J5" s="15">
        <f>IF(9&lt;=DAY(EOMONTH(DATE(Resumen!$B$2,7,1),0)),9,"")</f>
        <v/>
      </c>
      <c r="K5" s="15">
        <f>IF(10&lt;=DAY(EOMONTH(DATE(Resumen!$B$2,7,1),0)),10,"")</f>
        <v/>
      </c>
      <c r="L5" s="15">
        <f>IF(11&lt;=DAY(EOMONTH(DATE(Resumen!$B$2,7,1),0)),11,"")</f>
        <v/>
      </c>
      <c r="M5" s="15">
        <f>IF(12&lt;=DAY(EOMONTH(DATE(Resumen!$B$2,7,1),0)),12,"")</f>
        <v/>
      </c>
      <c r="N5" s="15">
        <f>IF(13&lt;=DAY(EOMONTH(DATE(Resumen!$B$2,7,1),0)),13,"")</f>
        <v/>
      </c>
      <c r="O5" s="15">
        <f>IF(14&lt;=DAY(EOMONTH(DATE(Resumen!$B$2,7,1),0)),14,"")</f>
        <v/>
      </c>
      <c r="P5" s="15">
        <f>IF(15&lt;=DAY(EOMONTH(DATE(Resumen!$B$2,7,1),0)),15,"")</f>
        <v/>
      </c>
      <c r="Q5" s="15">
        <f>IF(16&lt;=DAY(EOMONTH(DATE(Resumen!$B$2,7,1),0)),16,"")</f>
        <v/>
      </c>
      <c r="R5" s="15">
        <f>IF(17&lt;=DAY(EOMONTH(DATE(Resumen!$B$2,7,1),0)),17,"")</f>
        <v/>
      </c>
      <c r="S5" s="15">
        <f>IF(18&lt;=DAY(EOMONTH(DATE(Resumen!$B$2,7,1),0)),18,"")</f>
        <v/>
      </c>
      <c r="T5" s="15">
        <f>IF(19&lt;=DAY(EOMONTH(DATE(Resumen!$B$2,7,1),0)),19,"")</f>
        <v/>
      </c>
      <c r="U5" s="15">
        <f>IF(20&lt;=DAY(EOMONTH(DATE(Resumen!$B$2,7,1),0)),20,"")</f>
        <v/>
      </c>
      <c r="V5" s="15">
        <f>IF(21&lt;=DAY(EOMONTH(DATE(Resumen!$B$2,7,1),0)),21,"")</f>
        <v/>
      </c>
      <c r="W5" s="15">
        <f>IF(22&lt;=DAY(EOMONTH(DATE(Resumen!$B$2,7,1),0)),22,"")</f>
        <v/>
      </c>
      <c r="X5" s="15">
        <f>IF(23&lt;=DAY(EOMONTH(DATE(Resumen!$B$2,7,1),0)),23,"")</f>
        <v/>
      </c>
      <c r="Y5" s="15">
        <f>IF(24&lt;=DAY(EOMONTH(DATE(Resumen!$B$2,7,1),0)),24,"")</f>
        <v/>
      </c>
      <c r="Z5" s="15">
        <f>IF(25&lt;=DAY(EOMONTH(DATE(Resumen!$B$2,7,1),0)),25,"")</f>
        <v/>
      </c>
      <c r="AA5" s="15">
        <f>IF(26&lt;=DAY(EOMONTH(DATE(Resumen!$B$2,7,1),0)),26,"")</f>
        <v/>
      </c>
      <c r="AB5" s="15">
        <f>IF(27&lt;=DAY(EOMONTH(DATE(Resumen!$B$2,7,1),0)),27,"")</f>
        <v/>
      </c>
      <c r="AC5" s="15">
        <f>IF(28&lt;=DAY(EOMONTH(DATE(Resumen!$B$2,7,1),0)),28,"")</f>
        <v/>
      </c>
      <c r="AD5" s="15">
        <f>IF(29&lt;=DAY(EOMONTH(DATE(Resumen!$B$2,7,1),0)),29,"")</f>
        <v/>
      </c>
      <c r="AE5" s="15">
        <f>IF(30&lt;=DAY(EOMONTH(DATE(Resumen!$B$2,7,1),0)),30,"")</f>
        <v/>
      </c>
      <c r="AF5" s="15">
        <f>IF(31&lt;=DAY(EOMONTH(DATE(Resumen!$B$2,7,1),0)),31,"")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IF(B$5="","",MID("LMXJVSD",WEEKDAY(DATE(Resumen!$B$2,7,B$5),2),1))</f>
        <v/>
      </c>
      <c r="C6" s="15">
        <f>IF(C$5="","",MID("LMXJVSD",WEEKDAY(DATE(Resumen!$B$2,7,C$5),2),1))</f>
        <v/>
      </c>
      <c r="D6" s="15">
        <f>IF(D$5="","",MID("LMXJVSD",WEEKDAY(DATE(Resumen!$B$2,7,D$5),2),1))</f>
        <v/>
      </c>
      <c r="E6" s="15">
        <f>IF(E$5="","",MID("LMXJVSD",WEEKDAY(DATE(Resumen!$B$2,7,E$5),2),1))</f>
        <v/>
      </c>
      <c r="F6" s="15">
        <f>IF(F$5="","",MID("LMXJVSD",WEEKDAY(DATE(Resumen!$B$2,7,F$5),2),1))</f>
        <v/>
      </c>
      <c r="G6" s="15">
        <f>IF(G$5="","",MID("LMXJVSD",WEEKDAY(DATE(Resumen!$B$2,7,G$5),2),1))</f>
        <v/>
      </c>
      <c r="H6" s="15">
        <f>IF(H$5="","",MID("LMXJVSD",WEEKDAY(DATE(Resumen!$B$2,7,H$5),2),1))</f>
        <v/>
      </c>
      <c r="I6" s="15">
        <f>IF(I$5="","",MID("LMXJVSD",WEEKDAY(DATE(Resumen!$B$2,7,I$5),2),1))</f>
        <v/>
      </c>
      <c r="J6" s="15">
        <f>IF(J$5="","",MID("LMXJVSD",WEEKDAY(DATE(Resumen!$B$2,7,J$5),2),1))</f>
        <v/>
      </c>
      <c r="K6" s="15">
        <f>IF(K$5="","",MID("LMXJVSD",WEEKDAY(DATE(Resumen!$B$2,7,K$5),2),1))</f>
        <v/>
      </c>
      <c r="L6" s="15">
        <f>IF(L$5="","",MID("LMXJVSD",WEEKDAY(DATE(Resumen!$B$2,7,L$5),2),1))</f>
        <v/>
      </c>
      <c r="M6" s="15">
        <f>IF(M$5="","",MID("LMXJVSD",WEEKDAY(DATE(Resumen!$B$2,7,M$5),2),1))</f>
        <v/>
      </c>
      <c r="N6" s="15">
        <f>IF(N$5="","",MID("LMXJVSD",WEEKDAY(DATE(Resumen!$B$2,7,N$5),2),1))</f>
        <v/>
      </c>
      <c r="O6" s="15">
        <f>IF(O$5="","",MID("LMXJVSD",WEEKDAY(DATE(Resumen!$B$2,7,O$5),2),1))</f>
        <v/>
      </c>
      <c r="P6" s="15">
        <f>IF(P$5="","",MID("LMXJVSD",WEEKDAY(DATE(Resumen!$B$2,7,P$5),2),1))</f>
        <v/>
      </c>
      <c r="Q6" s="15">
        <f>IF(Q$5="","",MID("LMXJVSD",WEEKDAY(DATE(Resumen!$B$2,7,Q$5),2),1))</f>
        <v/>
      </c>
      <c r="R6" s="15">
        <f>IF(R$5="","",MID("LMXJVSD",WEEKDAY(DATE(Resumen!$B$2,7,R$5),2),1))</f>
        <v/>
      </c>
      <c r="S6" s="15">
        <f>IF(S$5="","",MID("LMXJVSD",WEEKDAY(DATE(Resumen!$B$2,7,S$5),2),1))</f>
        <v/>
      </c>
      <c r="T6" s="15">
        <f>IF(T$5="","",MID("LMXJVSD",WEEKDAY(DATE(Resumen!$B$2,7,T$5),2),1))</f>
        <v/>
      </c>
      <c r="U6" s="15">
        <f>IF(U$5="","",MID("LMXJVSD",WEEKDAY(DATE(Resumen!$B$2,7,U$5),2),1))</f>
        <v/>
      </c>
      <c r="V6" s="15">
        <f>IF(V$5="","",MID("LMXJVSD",WEEKDAY(DATE(Resumen!$B$2,7,V$5),2),1))</f>
        <v/>
      </c>
      <c r="W6" s="15">
        <f>IF(W$5="","",MID("LMXJVSD",WEEKDAY(DATE(Resumen!$B$2,7,W$5),2),1))</f>
        <v/>
      </c>
      <c r="X6" s="15">
        <f>IF(X$5="","",MID("LMXJVSD",WEEKDAY(DATE(Resumen!$B$2,7,X$5),2),1))</f>
        <v/>
      </c>
      <c r="Y6" s="15">
        <f>IF(Y$5="","",MID("LMXJVSD",WEEKDAY(DATE(Resumen!$B$2,7,Y$5),2),1))</f>
        <v/>
      </c>
      <c r="Z6" s="15">
        <f>IF(Z$5="","",MID("LMXJVSD",WEEKDAY(DATE(Resumen!$B$2,7,Z$5),2),1))</f>
        <v/>
      </c>
      <c r="AA6" s="15">
        <f>IF(AA$5="","",MID("LMXJVSD",WEEKDAY(DATE(Resumen!$B$2,7,AA$5),2),1))</f>
        <v/>
      </c>
      <c r="AB6" s="15">
        <f>IF(AB$5="","",MID("LMXJVSD",WEEKDAY(DATE(Resumen!$B$2,7,AB$5),2),1))</f>
        <v/>
      </c>
      <c r="AC6" s="15">
        <f>IF(AC$5="","",MID("LMXJVSD",WEEKDAY(DATE(Resumen!$B$2,7,AC$5),2),1))</f>
        <v/>
      </c>
      <c r="AD6" s="15">
        <f>IF(AD$5="","",MID("LMXJVSD",WEEKDAY(DATE(Resumen!$B$2,7,AD$5),2),1))</f>
        <v/>
      </c>
      <c r="AE6" s="15">
        <f>IF(AE$5="","",MID("LMXJVSD",WEEKDAY(DATE(Resumen!$B$2,7,AE$5),2),1))</f>
        <v/>
      </c>
      <c r="AF6" s="15">
        <f>IF(AF$5="","",MID("LMXJVSD",WEEKDAY(DATE(Resumen!$B$2,7,AF$5),2),1))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IF(B$5="","",IF(COUNTIFS(Festivos!$A$5:$A$239,Resumen!$E$2,Festivos!$B$5:$B$239,DATE(Resumen!$B$2,7,B$5))+COUNTIF(Festivos!$E$5:$E$24,DATE(Resumen!$B$2,7,B$5))&gt;0,"F",""))</f>
        <v/>
      </c>
      <c r="C7" s="15">
        <f>IF(C$5="","",IF(COUNTIFS(Festivos!$A$5:$A$239,Resumen!$E$2,Festivos!$B$5:$B$239,DATE(Resumen!$B$2,7,C$5))+COUNTIF(Festivos!$E$5:$E$24,DATE(Resumen!$B$2,7,C$5))&gt;0,"F",""))</f>
        <v/>
      </c>
      <c r="D7" s="15">
        <f>IF(D$5="","",IF(COUNTIFS(Festivos!$A$5:$A$239,Resumen!$E$2,Festivos!$B$5:$B$239,DATE(Resumen!$B$2,7,D$5))+COUNTIF(Festivos!$E$5:$E$24,DATE(Resumen!$B$2,7,D$5))&gt;0,"F",""))</f>
        <v/>
      </c>
      <c r="E7" s="15">
        <f>IF(E$5="","",IF(COUNTIFS(Festivos!$A$5:$A$239,Resumen!$E$2,Festivos!$B$5:$B$239,DATE(Resumen!$B$2,7,E$5))+COUNTIF(Festivos!$E$5:$E$24,DATE(Resumen!$B$2,7,E$5))&gt;0,"F",""))</f>
        <v/>
      </c>
      <c r="F7" s="15">
        <f>IF(F$5="","",IF(COUNTIFS(Festivos!$A$5:$A$239,Resumen!$E$2,Festivos!$B$5:$B$239,DATE(Resumen!$B$2,7,F$5))+COUNTIF(Festivos!$E$5:$E$24,DATE(Resumen!$B$2,7,F$5))&gt;0,"F",""))</f>
        <v/>
      </c>
      <c r="G7" s="15">
        <f>IF(G$5="","",IF(COUNTIFS(Festivos!$A$5:$A$239,Resumen!$E$2,Festivos!$B$5:$B$239,DATE(Resumen!$B$2,7,G$5))+COUNTIF(Festivos!$E$5:$E$24,DATE(Resumen!$B$2,7,G$5))&gt;0,"F",""))</f>
        <v/>
      </c>
      <c r="H7" s="15">
        <f>IF(H$5="","",IF(COUNTIFS(Festivos!$A$5:$A$239,Resumen!$E$2,Festivos!$B$5:$B$239,DATE(Resumen!$B$2,7,H$5))+COUNTIF(Festivos!$E$5:$E$24,DATE(Resumen!$B$2,7,H$5))&gt;0,"F",""))</f>
        <v/>
      </c>
      <c r="I7" s="15">
        <f>IF(I$5="","",IF(COUNTIFS(Festivos!$A$5:$A$239,Resumen!$E$2,Festivos!$B$5:$B$239,DATE(Resumen!$B$2,7,I$5))+COUNTIF(Festivos!$E$5:$E$24,DATE(Resumen!$B$2,7,I$5))&gt;0,"F",""))</f>
        <v/>
      </c>
      <c r="J7" s="15">
        <f>IF(J$5="","",IF(COUNTIFS(Festivos!$A$5:$A$239,Resumen!$E$2,Festivos!$B$5:$B$239,DATE(Resumen!$B$2,7,J$5))+COUNTIF(Festivos!$E$5:$E$24,DATE(Resumen!$B$2,7,J$5))&gt;0,"F",""))</f>
        <v/>
      </c>
      <c r="K7" s="15">
        <f>IF(K$5="","",IF(COUNTIFS(Festivos!$A$5:$A$239,Resumen!$E$2,Festivos!$B$5:$B$239,DATE(Resumen!$B$2,7,K$5))+COUNTIF(Festivos!$E$5:$E$24,DATE(Resumen!$B$2,7,K$5))&gt;0,"F",""))</f>
        <v/>
      </c>
      <c r="L7" s="15">
        <f>IF(L$5="","",IF(COUNTIFS(Festivos!$A$5:$A$239,Resumen!$E$2,Festivos!$B$5:$B$239,DATE(Resumen!$B$2,7,L$5))+COUNTIF(Festivos!$E$5:$E$24,DATE(Resumen!$B$2,7,L$5))&gt;0,"F",""))</f>
        <v/>
      </c>
      <c r="M7" s="15">
        <f>IF(M$5="","",IF(COUNTIFS(Festivos!$A$5:$A$239,Resumen!$E$2,Festivos!$B$5:$B$239,DATE(Resumen!$B$2,7,M$5))+COUNTIF(Festivos!$E$5:$E$24,DATE(Resumen!$B$2,7,M$5))&gt;0,"F",""))</f>
        <v/>
      </c>
      <c r="N7" s="15">
        <f>IF(N$5="","",IF(COUNTIFS(Festivos!$A$5:$A$239,Resumen!$E$2,Festivos!$B$5:$B$239,DATE(Resumen!$B$2,7,N$5))+COUNTIF(Festivos!$E$5:$E$24,DATE(Resumen!$B$2,7,N$5))&gt;0,"F",""))</f>
        <v/>
      </c>
      <c r="O7" s="15">
        <f>IF(O$5="","",IF(COUNTIFS(Festivos!$A$5:$A$239,Resumen!$E$2,Festivos!$B$5:$B$239,DATE(Resumen!$B$2,7,O$5))+COUNTIF(Festivos!$E$5:$E$24,DATE(Resumen!$B$2,7,O$5))&gt;0,"F",""))</f>
        <v/>
      </c>
      <c r="P7" s="15">
        <f>IF(P$5="","",IF(COUNTIFS(Festivos!$A$5:$A$239,Resumen!$E$2,Festivos!$B$5:$B$239,DATE(Resumen!$B$2,7,P$5))+COUNTIF(Festivos!$E$5:$E$24,DATE(Resumen!$B$2,7,P$5))&gt;0,"F",""))</f>
        <v/>
      </c>
      <c r="Q7" s="15">
        <f>IF(Q$5="","",IF(COUNTIFS(Festivos!$A$5:$A$239,Resumen!$E$2,Festivos!$B$5:$B$239,DATE(Resumen!$B$2,7,Q$5))+COUNTIF(Festivos!$E$5:$E$24,DATE(Resumen!$B$2,7,Q$5))&gt;0,"F",""))</f>
        <v/>
      </c>
      <c r="R7" s="15">
        <f>IF(R$5="","",IF(COUNTIFS(Festivos!$A$5:$A$239,Resumen!$E$2,Festivos!$B$5:$B$239,DATE(Resumen!$B$2,7,R$5))+COUNTIF(Festivos!$E$5:$E$24,DATE(Resumen!$B$2,7,R$5))&gt;0,"F",""))</f>
        <v/>
      </c>
      <c r="S7" s="15">
        <f>IF(S$5="","",IF(COUNTIFS(Festivos!$A$5:$A$239,Resumen!$E$2,Festivos!$B$5:$B$239,DATE(Resumen!$B$2,7,S$5))+COUNTIF(Festivos!$E$5:$E$24,DATE(Resumen!$B$2,7,S$5))&gt;0,"F",""))</f>
        <v/>
      </c>
      <c r="T7" s="15">
        <f>IF(T$5="","",IF(COUNTIFS(Festivos!$A$5:$A$239,Resumen!$E$2,Festivos!$B$5:$B$239,DATE(Resumen!$B$2,7,T$5))+COUNTIF(Festivos!$E$5:$E$24,DATE(Resumen!$B$2,7,T$5))&gt;0,"F",""))</f>
        <v/>
      </c>
      <c r="U7" s="15">
        <f>IF(U$5="","",IF(COUNTIFS(Festivos!$A$5:$A$239,Resumen!$E$2,Festivos!$B$5:$B$239,DATE(Resumen!$B$2,7,U$5))+COUNTIF(Festivos!$E$5:$E$24,DATE(Resumen!$B$2,7,U$5))&gt;0,"F",""))</f>
        <v/>
      </c>
      <c r="V7" s="15">
        <f>IF(V$5="","",IF(COUNTIFS(Festivos!$A$5:$A$239,Resumen!$E$2,Festivos!$B$5:$B$239,DATE(Resumen!$B$2,7,V$5))+COUNTIF(Festivos!$E$5:$E$24,DATE(Resumen!$B$2,7,V$5))&gt;0,"F",""))</f>
        <v/>
      </c>
      <c r="W7" s="15">
        <f>IF(W$5="","",IF(COUNTIFS(Festivos!$A$5:$A$239,Resumen!$E$2,Festivos!$B$5:$B$239,DATE(Resumen!$B$2,7,W$5))+COUNTIF(Festivos!$E$5:$E$24,DATE(Resumen!$B$2,7,W$5))&gt;0,"F",""))</f>
        <v/>
      </c>
      <c r="X7" s="15">
        <f>IF(X$5="","",IF(COUNTIFS(Festivos!$A$5:$A$239,Resumen!$E$2,Festivos!$B$5:$B$239,DATE(Resumen!$B$2,7,X$5))+COUNTIF(Festivos!$E$5:$E$24,DATE(Resumen!$B$2,7,X$5))&gt;0,"F",""))</f>
        <v/>
      </c>
      <c r="Y7" s="15">
        <f>IF(Y$5="","",IF(COUNTIFS(Festivos!$A$5:$A$239,Resumen!$E$2,Festivos!$B$5:$B$239,DATE(Resumen!$B$2,7,Y$5))+COUNTIF(Festivos!$E$5:$E$24,DATE(Resumen!$B$2,7,Y$5))&gt;0,"F",""))</f>
        <v/>
      </c>
      <c r="Z7" s="15">
        <f>IF(Z$5="","",IF(COUNTIFS(Festivos!$A$5:$A$239,Resumen!$E$2,Festivos!$B$5:$B$239,DATE(Resumen!$B$2,7,Z$5))+COUNTIF(Festivos!$E$5:$E$24,DATE(Resumen!$B$2,7,Z$5))&gt;0,"F",""))</f>
        <v/>
      </c>
      <c r="AA7" s="15">
        <f>IF(AA$5="","",IF(COUNTIFS(Festivos!$A$5:$A$239,Resumen!$E$2,Festivos!$B$5:$B$239,DATE(Resumen!$B$2,7,AA$5))+COUNTIF(Festivos!$E$5:$E$24,DATE(Resumen!$B$2,7,AA$5))&gt;0,"F",""))</f>
        <v/>
      </c>
      <c r="AB7" s="15">
        <f>IF(AB$5="","",IF(COUNTIFS(Festivos!$A$5:$A$239,Resumen!$E$2,Festivos!$B$5:$B$239,DATE(Resumen!$B$2,7,AB$5))+COUNTIF(Festivos!$E$5:$E$24,DATE(Resumen!$B$2,7,AB$5))&gt;0,"F",""))</f>
        <v/>
      </c>
      <c r="AC7" s="15">
        <f>IF(AC$5="","",IF(COUNTIFS(Festivos!$A$5:$A$239,Resumen!$E$2,Festivos!$B$5:$B$239,DATE(Resumen!$B$2,7,AC$5))+COUNTIF(Festivos!$E$5:$E$24,DATE(Resumen!$B$2,7,AC$5))&gt;0,"F",""))</f>
        <v/>
      </c>
      <c r="AD7" s="15">
        <f>IF(AD$5="","",IF(COUNTIFS(Festivos!$A$5:$A$239,Resumen!$E$2,Festivos!$B$5:$B$239,DATE(Resumen!$B$2,7,AD$5))+COUNTIF(Festivos!$E$5:$E$24,DATE(Resumen!$B$2,7,AD$5))&gt;0,"F",""))</f>
        <v/>
      </c>
      <c r="AE7" s="15">
        <f>IF(AE$5="","",IF(COUNTIFS(Festivos!$A$5:$A$239,Resumen!$E$2,Festivos!$B$5:$B$239,DATE(Resumen!$B$2,7,AE$5))+COUNTIF(Festivos!$E$5:$E$24,DATE(Resumen!$B$2,7,AE$5))&gt;0,"F",""))</f>
        <v/>
      </c>
      <c r="AF7" s="15">
        <f>IF(AF$5="","",IF(COUNTIFS(Festivos!$A$5:$A$239,Resumen!$E$2,Festivos!$B$5:$B$239,DATE(Resumen!$B$2,7,AF$5))+COUNTIF(Festivos!$E$5:$E$24,DATE(Resumen!$B$2,7,AF$5))&gt;0,"F",""))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"Agosto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IF(1&lt;=DAY(EOMONTH(DATE(Resumen!$B$2,8,1),0)),1,"")</f>
        <v/>
      </c>
      <c r="C5" s="15">
        <f>IF(2&lt;=DAY(EOMONTH(DATE(Resumen!$B$2,8,1),0)),2,"")</f>
        <v/>
      </c>
      <c r="D5" s="15">
        <f>IF(3&lt;=DAY(EOMONTH(DATE(Resumen!$B$2,8,1),0)),3,"")</f>
        <v/>
      </c>
      <c r="E5" s="15">
        <f>IF(4&lt;=DAY(EOMONTH(DATE(Resumen!$B$2,8,1),0)),4,"")</f>
        <v/>
      </c>
      <c r="F5" s="15">
        <f>IF(5&lt;=DAY(EOMONTH(DATE(Resumen!$B$2,8,1),0)),5,"")</f>
        <v/>
      </c>
      <c r="G5" s="15">
        <f>IF(6&lt;=DAY(EOMONTH(DATE(Resumen!$B$2,8,1),0)),6,"")</f>
        <v/>
      </c>
      <c r="H5" s="15">
        <f>IF(7&lt;=DAY(EOMONTH(DATE(Resumen!$B$2,8,1),0)),7,"")</f>
        <v/>
      </c>
      <c r="I5" s="15">
        <f>IF(8&lt;=DAY(EOMONTH(DATE(Resumen!$B$2,8,1),0)),8,"")</f>
        <v/>
      </c>
      <c r="J5" s="15">
        <f>IF(9&lt;=DAY(EOMONTH(DATE(Resumen!$B$2,8,1),0)),9,"")</f>
        <v/>
      </c>
      <c r="K5" s="15">
        <f>IF(10&lt;=DAY(EOMONTH(DATE(Resumen!$B$2,8,1),0)),10,"")</f>
        <v/>
      </c>
      <c r="L5" s="15">
        <f>IF(11&lt;=DAY(EOMONTH(DATE(Resumen!$B$2,8,1),0)),11,"")</f>
        <v/>
      </c>
      <c r="M5" s="15">
        <f>IF(12&lt;=DAY(EOMONTH(DATE(Resumen!$B$2,8,1),0)),12,"")</f>
        <v/>
      </c>
      <c r="N5" s="15">
        <f>IF(13&lt;=DAY(EOMONTH(DATE(Resumen!$B$2,8,1),0)),13,"")</f>
        <v/>
      </c>
      <c r="O5" s="15">
        <f>IF(14&lt;=DAY(EOMONTH(DATE(Resumen!$B$2,8,1),0)),14,"")</f>
        <v/>
      </c>
      <c r="P5" s="15">
        <f>IF(15&lt;=DAY(EOMONTH(DATE(Resumen!$B$2,8,1),0)),15,"")</f>
        <v/>
      </c>
      <c r="Q5" s="15">
        <f>IF(16&lt;=DAY(EOMONTH(DATE(Resumen!$B$2,8,1),0)),16,"")</f>
        <v/>
      </c>
      <c r="R5" s="15">
        <f>IF(17&lt;=DAY(EOMONTH(DATE(Resumen!$B$2,8,1),0)),17,"")</f>
        <v/>
      </c>
      <c r="S5" s="15">
        <f>IF(18&lt;=DAY(EOMONTH(DATE(Resumen!$B$2,8,1),0)),18,"")</f>
        <v/>
      </c>
      <c r="T5" s="15">
        <f>IF(19&lt;=DAY(EOMONTH(DATE(Resumen!$B$2,8,1),0)),19,"")</f>
        <v/>
      </c>
      <c r="U5" s="15">
        <f>IF(20&lt;=DAY(EOMONTH(DATE(Resumen!$B$2,8,1),0)),20,"")</f>
        <v/>
      </c>
      <c r="V5" s="15">
        <f>IF(21&lt;=DAY(EOMONTH(DATE(Resumen!$B$2,8,1),0)),21,"")</f>
        <v/>
      </c>
      <c r="W5" s="15">
        <f>IF(22&lt;=DAY(EOMONTH(DATE(Resumen!$B$2,8,1),0)),22,"")</f>
        <v/>
      </c>
      <c r="X5" s="15">
        <f>IF(23&lt;=DAY(EOMONTH(DATE(Resumen!$B$2,8,1),0)),23,"")</f>
        <v/>
      </c>
      <c r="Y5" s="15">
        <f>IF(24&lt;=DAY(EOMONTH(DATE(Resumen!$B$2,8,1),0)),24,"")</f>
        <v/>
      </c>
      <c r="Z5" s="15">
        <f>IF(25&lt;=DAY(EOMONTH(DATE(Resumen!$B$2,8,1),0)),25,"")</f>
        <v/>
      </c>
      <c r="AA5" s="15">
        <f>IF(26&lt;=DAY(EOMONTH(DATE(Resumen!$B$2,8,1),0)),26,"")</f>
        <v/>
      </c>
      <c r="AB5" s="15">
        <f>IF(27&lt;=DAY(EOMONTH(DATE(Resumen!$B$2,8,1),0)),27,"")</f>
        <v/>
      </c>
      <c r="AC5" s="15">
        <f>IF(28&lt;=DAY(EOMONTH(DATE(Resumen!$B$2,8,1),0)),28,"")</f>
        <v/>
      </c>
      <c r="AD5" s="15">
        <f>IF(29&lt;=DAY(EOMONTH(DATE(Resumen!$B$2,8,1),0)),29,"")</f>
        <v/>
      </c>
      <c r="AE5" s="15">
        <f>IF(30&lt;=DAY(EOMONTH(DATE(Resumen!$B$2,8,1),0)),30,"")</f>
        <v/>
      </c>
      <c r="AF5" s="15">
        <f>IF(31&lt;=DAY(EOMONTH(DATE(Resumen!$B$2,8,1),0)),31,"")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IF(B$5="","",MID("LMXJVSD",WEEKDAY(DATE(Resumen!$B$2,8,B$5),2),1))</f>
        <v/>
      </c>
      <c r="C6" s="15">
        <f>IF(C$5="","",MID("LMXJVSD",WEEKDAY(DATE(Resumen!$B$2,8,C$5),2),1))</f>
        <v/>
      </c>
      <c r="D6" s="15">
        <f>IF(D$5="","",MID("LMXJVSD",WEEKDAY(DATE(Resumen!$B$2,8,D$5),2),1))</f>
        <v/>
      </c>
      <c r="E6" s="15">
        <f>IF(E$5="","",MID("LMXJVSD",WEEKDAY(DATE(Resumen!$B$2,8,E$5),2),1))</f>
        <v/>
      </c>
      <c r="F6" s="15">
        <f>IF(F$5="","",MID("LMXJVSD",WEEKDAY(DATE(Resumen!$B$2,8,F$5),2),1))</f>
        <v/>
      </c>
      <c r="G6" s="15">
        <f>IF(G$5="","",MID("LMXJVSD",WEEKDAY(DATE(Resumen!$B$2,8,G$5),2),1))</f>
        <v/>
      </c>
      <c r="H6" s="15">
        <f>IF(H$5="","",MID("LMXJVSD",WEEKDAY(DATE(Resumen!$B$2,8,H$5),2),1))</f>
        <v/>
      </c>
      <c r="I6" s="15">
        <f>IF(I$5="","",MID("LMXJVSD",WEEKDAY(DATE(Resumen!$B$2,8,I$5),2),1))</f>
        <v/>
      </c>
      <c r="J6" s="15">
        <f>IF(J$5="","",MID("LMXJVSD",WEEKDAY(DATE(Resumen!$B$2,8,J$5),2),1))</f>
        <v/>
      </c>
      <c r="K6" s="15">
        <f>IF(K$5="","",MID("LMXJVSD",WEEKDAY(DATE(Resumen!$B$2,8,K$5),2),1))</f>
        <v/>
      </c>
      <c r="L6" s="15">
        <f>IF(L$5="","",MID("LMXJVSD",WEEKDAY(DATE(Resumen!$B$2,8,L$5),2),1))</f>
        <v/>
      </c>
      <c r="M6" s="15">
        <f>IF(M$5="","",MID("LMXJVSD",WEEKDAY(DATE(Resumen!$B$2,8,M$5),2),1))</f>
        <v/>
      </c>
      <c r="N6" s="15">
        <f>IF(N$5="","",MID("LMXJVSD",WEEKDAY(DATE(Resumen!$B$2,8,N$5),2),1))</f>
        <v/>
      </c>
      <c r="O6" s="15">
        <f>IF(O$5="","",MID("LMXJVSD",WEEKDAY(DATE(Resumen!$B$2,8,O$5),2),1))</f>
        <v/>
      </c>
      <c r="P6" s="15">
        <f>IF(P$5="","",MID("LMXJVSD",WEEKDAY(DATE(Resumen!$B$2,8,P$5),2),1))</f>
        <v/>
      </c>
      <c r="Q6" s="15">
        <f>IF(Q$5="","",MID("LMXJVSD",WEEKDAY(DATE(Resumen!$B$2,8,Q$5),2),1))</f>
        <v/>
      </c>
      <c r="R6" s="15">
        <f>IF(R$5="","",MID("LMXJVSD",WEEKDAY(DATE(Resumen!$B$2,8,R$5),2),1))</f>
        <v/>
      </c>
      <c r="S6" s="15">
        <f>IF(S$5="","",MID("LMXJVSD",WEEKDAY(DATE(Resumen!$B$2,8,S$5),2),1))</f>
        <v/>
      </c>
      <c r="T6" s="15">
        <f>IF(T$5="","",MID("LMXJVSD",WEEKDAY(DATE(Resumen!$B$2,8,T$5),2),1))</f>
        <v/>
      </c>
      <c r="U6" s="15">
        <f>IF(U$5="","",MID("LMXJVSD",WEEKDAY(DATE(Resumen!$B$2,8,U$5),2),1))</f>
        <v/>
      </c>
      <c r="V6" s="15">
        <f>IF(V$5="","",MID("LMXJVSD",WEEKDAY(DATE(Resumen!$B$2,8,V$5),2),1))</f>
        <v/>
      </c>
      <c r="W6" s="15">
        <f>IF(W$5="","",MID("LMXJVSD",WEEKDAY(DATE(Resumen!$B$2,8,W$5),2),1))</f>
        <v/>
      </c>
      <c r="X6" s="15">
        <f>IF(X$5="","",MID("LMXJVSD",WEEKDAY(DATE(Resumen!$B$2,8,X$5),2),1))</f>
        <v/>
      </c>
      <c r="Y6" s="15">
        <f>IF(Y$5="","",MID("LMXJVSD",WEEKDAY(DATE(Resumen!$B$2,8,Y$5),2),1))</f>
        <v/>
      </c>
      <c r="Z6" s="15">
        <f>IF(Z$5="","",MID("LMXJVSD",WEEKDAY(DATE(Resumen!$B$2,8,Z$5),2),1))</f>
        <v/>
      </c>
      <c r="AA6" s="15">
        <f>IF(AA$5="","",MID("LMXJVSD",WEEKDAY(DATE(Resumen!$B$2,8,AA$5),2),1))</f>
        <v/>
      </c>
      <c r="AB6" s="15">
        <f>IF(AB$5="","",MID("LMXJVSD",WEEKDAY(DATE(Resumen!$B$2,8,AB$5),2),1))</f>
        <v/>
      </c>
      <c r="AC6" s="15">
        <f>IF(AC$5="","",MID("LMXJVSD",WEEKDAY(DATE(Resumen!$B$2,8,AC$5),2),1))</f>
        <v/>
      </c>
      <c r="AD6" s="15">
        <f>IF(AD$5="","",MID("LMXJVSD",WEEKDAY(DATE(Resumen!$B$2,8,AD$5),2),1))</f>
        <v/>
      </c>
      <c r="AE6" s="15">
        <f>IF(AE$5="","",MID("LMXJVSD",WEEKDAY(DATE(Resumen!$B$2,8,AE$5),2),1))</f>
        <v/>
      </c>
      <c r="AF6" s="15">
        <f>IF(AF$5="","",MID("LMXJVSD",WEEKDAY(DATE(Resumen!$B$2,8,AF$5),2),1))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IF(B$5="","",IF(COUNTIFS(Festivos!$A$5:$A$239,Resumen!$E$2,Festivos!$B$5:$B$239,DATE(Resumen!$B$2,8,B$5))+COUNTIF(Festivos!$E$5:$E$24,DATE(Resumen!$B$2,8,B$5))&gt;0,"F",""))</f>
        <v/>
      </c>
      <c r="C7" s="15">
        <f>IF(C$5="","",IF(COUNTIFS(Festivos!$A$5:$A$239,Resumen!$E$2,Festivos!$B$5:$B$239,DATE(Resumen!$B$2,8,C$5))+COUNTIF(Festivos!$E$5:$E$24,DATE(Resumen!$B$2,8,C$5))&gt;0,"F",""))</f>
        <v/>
      </c>
      <c r="D7" s="15">
        <f>IF(D$5="","",IF(COUNTIFS(Festivos!$A$5:$A$239,Resumen!$E$2,Festivos!$B$5:$B$239,DATE(Resumen!$B$2,8,D$5))+COUNTIF(Festivos!$E$5:$E$24,DATE(Resumen!$B$2,8,D$5))&gt;0,"F",""))</f>
        <v/>
      </c>
      <c r="E7" s="15">
        <f>IF(E$5="","",IF(COUNTIFS(Festivos!$A$5:$A$239,Resumen!$E$2,Festivos!$B$5:$B$239,DATE(Resumen!$B$2,8,E$5))+COUNTIF(Festivos!$E$5:$E$24,DATE(Resumen!$B$2,8,E$5))&gt;0,"F",""))</f>
        <v/>
      </c>
      <c r="F7" s="15">
        <f>IF(F$5="","",IF(COUNTIFS(Festivos!$A$5:$A$239,Resumen!$E$2,Festivos!$B$5:$B$239,DATE(Resumen!$B$2,8,F$5))+COUNTIF(Festivos!$E$5:$E$24,DATE(Resumen!$B$2,8,F$5))&gt;0,"F",""))</f>
        <v/>
      </c>
      <c r="G7" s="15">
        <f>IF(G$5="","",IF(COUNTIFS(Festivos!$A$5:$A$239,Resumen!$E$2,Festivos!$B$5:$B$239,DATE(Resumen!$B$2,8,G$5))+COUNTIF(Festivos!$E$5:$E$24,DATE(Resumen!$B$2,8,G$5))&gt;0,"F",""))</f>
        <v/>
      </c>
      <c r="H7" s="15">
        <f>IF(H$5="","",IF(COUNTIFS(Festivos!$A$5:$A$239,Resumen!$E$2,Festivos!$B$5:$B$239,DATE(Resumen!$B$2,8,H$5))+COUNTIF(Festivos!$E$5:$E$24,DATE(Resumen!$B$2,8,H$5))&gt;0,"F",""))</f>
        <v/>
      </c>
      <c r="I7" s="15">
        <f>IF(I$5="","",IF(COUNTIFS(Festivos!$A$5:$A$239,Resumen!$E$2,Festivos!$B$5:$B$239,DATE(Resumen!$B$2,8,I$5))+COUNTIF(Festivos!$E$5:$E$24,DATE(Resumen!$B$2,8,I$5))&gt;0,"F",""))</f>
        <v/>
      </c>
      <c r="J7" s="15">
        <f>IF(J$5="","",IF(COUNTIFS(Festivos!$A$5:$A$239,Resumen!$E$2,Festivos!$B$5:$B$239,DATE(Resumen!$B$2,8,J$5))+COUNTIF(Festivos!$E$5:$E$24,DATE(Resumen!$B$2,8,J$5))&gt;0,"F",""))</f>
        <v/>
      </c>
      <c r="K7" s="15">
        <f>IF(K$5="","",IF(COUNTIFS(Festivos!$A$5:$A$239,Resumen!$E$2,Festivos!$B$5:$B$239,DATE(Resumen!$B$2,8,K$5))+COUNTIF(Festivos!$E$5:$E$24,DATE(Resumen!$B$2,8,K$5))&gt;0,"F",""))</f>
        <v/>
      </c>
      <c r="L7" s="15">
        <f>IF(L$5="","",IF(COUNTIFS(Festivos!$A$5:$A$239,Resumen!$E$2,Festivos!$B$5:$B$239,DATE(Resumen!$B$2,8,L$5))+COUNTIF(Festivos!$E$5:$E$24,DATE(Resumen!$B$2,8,L$5))&gt;0,"F",""))</f>
        <v/>
      </c>
      <c r="M7" s="15">
        <f>IF(M$5="","",IF(COUNTIFS(Festivos!$A$5:$A$239,Resumen!$E$2,Festivos!$B$5:$B$239,DATE(Resumen!$B$2,8,M$5))+COUNTIF(Festivos!$E$5:$E$24,DATE(Resumen!$B$2,8,M$5))&gt;0,"F",""))</f>
        <v/>
      </c>
      <c r="N7" s="15">
        <f>IF(N$5="","",IF(COUNTIFS(Festivos!$A$5:$A$239,Resumen!$E$2,Festivos!$B$5:$B$239,DATE(Resumen!$B$2,8,N$5))+COUNTIF(Festivos!$E$5:$E$24,DATE(Resumen!$B$2,8,N$5))&gt;0,"F",""))</f>
        <v/>
      </c>
      <c r="O7" s="15">
        <f>IF(O$5="","",IF(COUNTIFS(Festivos!$A$5:$A$239,Resumen!$E$2,Festivos!$B$5:$B$239,DATE(Resumen!$B$2,8,O$5))+COUNTIF(Festivos!$E$5:$E$24,DATE(Resumen!$B$2,8,O$5))&gt;0,"F",""))</f>
        <v/>
      </c>
      <c r="P7" s="15">
        <f>IF(P$5="","",IF(COUNTIFS(Festivos!$A$5:$A$239,Resumen!$E$2,Festivos!$B$5:$B$239,DATE(Resumen!$B$2,8,P$5))+COUNTIF(Festivos!$E$5:$E$24,DATE(Resumen!$B$2,8,P$5))&gt;0,"F",""))</f>
        <v/>
      </c>
      <c r="Q7" s="15">
        <f>IF(Q$5="","",IF(COUNTIFS(Festivos!$A$5:$A$239,Resumen!$E$2,Festivos!$B$5:$B$239,DATE(Resumen!$B$2,8,Q$5))+COUNTIF(Festivos!$E$5:$E$24,DATE(Resumen!$B$2,8,Q$5))&gt;0,"F",""))</f>
        <v/>
      </c>
      <c r="R7" s="15">
        <f>IF(R$5="","",IF(COUNTIFS(Festivos!$A$5:$A$239,Resumen!$E$2,Festivos!$B$5:$B$239,DATE(Resumen!$B$2,8,R$5))+COUNTIF(Festivos!$E$5:$E$24,DATE(Resumen!$B$2,8,R$5))&gt;0,"F",""))</f>
        <v/>
      </c>
      <c r="S7" s="15">
        <f>IF(S$5="","",IF(COUNTIFS(Festivos!$A$5:$A$239,Resumen!$E$2,Festivos!$B$5:$B$239,DATE(Resumen!$B$2,8,S$5))+COUNTIF(Festivos!$E$5:$E$24,DATE(Resumen!$B$2,8,S$5))&gt;0,"F",""))</f>
        <v/>
      </c>
      <c r="T7" s="15">
        <f>IF(T$5="","",IF(COUNTIFS(Festivos!$A$5:$A$239,Resumen!$E$2,Festivos!$B$5:$B$239,DATE(Resumen!$B$2,8,T$5))+COUNTIF(Festivos!$E$5:$E$24,DATE(Resumen!$B$2,8,T$5))&gt;0,"F",""))</f>
        <v/>
      </c>
      <c r="U7" s="15">
        <f>IF(U$5="","",IF(COUNTIFS(Festivos!$A$5:$A$239,Resumen!$E$2,Festivos!$B$5:$B$239,DATE(Resumen!$B$2,8,U$5))+COUNTIF(Festivos!$E$5:$E$24,DATE(Resumen!$B$2,8,U$5))&gt;0,"F",""))</f>
        <v/>
      </c>
      <c r="V7" s="15">
        <f>IF(V$5="","",IF(COUNTIFS(Festivos!$A$5:$A$239,Resumen!$E$2,Festivos!$B$5:$B$239,DATE(Resumen!$B$2,8,V$5))+COUNTIF(Festivos!$E$5:$E$24,DATE(Resumen!$B$2,8,V$5))&gt;0,"F",""))</f>
        <v/>
      </c>
      <c r="W7" s="15">
        <f>IF(W$5="","",IF(COUNTIFS(Festivos!$A$5:$A$239,Resumen!$E$2,Festivos!$B$5:$B$239,DATE(Resumen!$B$2,8,W$5))+COUNTIF(Festivos!$E$5:$E$24,DATE(Resumen!$B$2,8,W$5))&gt;0,"F",""))</f>
        <v/>
      </c>
      <c r="X7" s="15">
        <f>IF(X$5="","",IF(COUNTIFS(Festivos!$A$5:$A$239,Resumen!$E$2,Festivos!$B$5:$B$239,DATE(Resumen!$B$2,8,X$5))+COUNTIF(Festivos!$E$5:$E$24,DATE(Resumen!$B$2,8,X$5))&gt;0,"F",""))</f>
        <v/>
      </c>
      <c r="Y7" s="15">
        <f>IF(Y$5="","",IF(COUNTIFS(Festivos!$A$5:$A$239,Resumen!$E$2,Festivos!$B$5:$B$239,DATE(Resumen!$B$2,8,Y$5))+COUNTIF(Festivos!$E$5:$E$24,DATE(Resumen!$B$2,8,Y$5))&gt;0,"F",""))</f>
        <v/>
      </c>
      <c r="Z7" s="15">
        <f>IF(Z$5="","",IF(COUNTIFS(Festivos!$A$5:$A$239,Resumen!$E$2,Festivos!$B$5:$B$239,DATE(Resumen!$B$2,8,Z$5))+COUNTIF(Festivos!$E$5:$E$24,DATE(Resumen!$B$2,8,Z$5))&gt;0,"F",""))</f>
        <v/>
      </c>
      <c r="AA7" s="15">
        <f>IF(AA$5="","",IF(COUNTIFS(Festivos!$A$5:$A$239,Resumen!$E$2,Festivos!$B$5:$B$239,DATE(Resumen!$B$2,8,AA$5))+COUNTIF(Festivos!$E$5:$E$24,DATE(Resumen!$B$2,8,AA$5))&gt;0,"F",""))</f>
        <v/>
      </c>
      <c r="AB7" s="15">
        <f>IF(AB$5="","",IF(COUNTIFS(Festivos!$A$5:$A$239,Resumen!$E$2,Festivos!$B$5:$B$239,DATE(Resumen!$B$2,8,AB$5))+COUNTIF(Festivos!$E$5:$E$24,DATE(Resumen!$B$2,8,AB$5))&gt;0,"F",""))</f>
        <v/>
      </c>
      <c r="AC7" s="15">
        <f>IF(AC$5="","",IF(COUNTIFS(Festivos!$A$5:$A$239,Resumen!$E$2,Festivos!$B$5:$B$239,DATE(Resumen!$B$2,8,AC$5))+COUNTIF(Festivos!$E$5:$E$24,DATE(Resumen!$B$2,8,AC$5))&gt;0,"F",""))</f>
        <v/>
      </c>
      <c r="AD7" s="15">
        <f>IF(AD$5="","",IF(COUNTIFS(Festivos!$A$5:$A$239,Resumen!$E$2,Festivos!$B$5:$B$239,DATE(Resumen!$B$2,8,AD$5))+COUNTIF(Festivos!$E$5:$E$24,DATE(Resumen!$B$2,8,AD$5))&gt;0,"F",""))</f>
        <v/>
      </c>
      <c r="AE7" s="15">
        <f>IF(AE$5="","",IF(COUNTIFS(Festivos!$A$5:$A$239,Resumen!$E$2,Festivos!$B$5:$B$239,DATE(Resumen!$B$2,8,AE$5))+COUNTIF(Festivos!$E$5:$E$24,DATE(Resumen!$B$2,8,AE$5))&gt;0,"F",""))</f>
        <v/>
      </c>
      <c r="AF7" s="15">
        <f>IF(AF$5="","",IF(COUNTIFS(Festivos!$A$5:$A$239,Resumen!$E$2,Festivos!$B$5:$B$239,DATE(Resumen!$B$2,8,AF$5))+COUNTIF(Festivos!$E$5:$E$24,DATE(Resumen!$B$2,8,AF$5))&gt;0,"F",""))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"Septiembre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IF(1&lt;=DAY(EOMONTH(DATE(Resumen!$B$2,9,1),0)),1,"")</f>
        <v/>
      </c>
      <c r="C5" s="15">
        <f>IF(2&lt;=DAY(EOMONTH(DATE(Resumen!$B$2,9,1),0)),2,"")</f>
        <v/>
      </c>
      <c r="D5" s="15">
        <f>IF(3&lt;=DAY(EOMONTH(DATE(Resumen!$B$2,9,1),0)),3,"")</f>
        <v/>
      </c>
      <c r="E5" s="15">
        <f>IF(4&lt;=DAY(EOMONTH(DATE(Resumen!$B$2,9,1),0)),4,"")</f>
        <v/>
      </c>
      <c r="F5" s="15">
        <f>IF(5&lt;=DAY(EOMONTH(DATE(Resumen!$B$2,9,1),0)),5,"")</f>
        <v/>
      </c>
      <c r="G5" s="15">
        <f>IF(6&lt;=DAY(EOMONTH(DATE(Resumen!$B$2,9,1),0)),6,"")</f>
        <v/>
      </c>
      <c r="H5" s="15">
        <f>IF(7&lt;=DAY(EOMONTH(DATE(Resumen!$B$2,9,1),0)),7,"")</f>
        <v/>
      </c>
      <c r="I5" s="15">
        <f>IF(8&lt;=DAY(EOMONTH(DATE(Resumen!$B$2,9,1),0)),8,"")</f>
        <v/>
      </c>
      <c r="J5" s="15">
        <f>IF(9&lt;=DAY(EOMONTH(DATE(Resumen!$B$2,9,1),0)),9,"")</f>
        <v/>
      </c>
      <c r="K5" s="15">
        <f>IF(10&lt;=DAY(EOMONTH(DATE(Resumen!$B$2,9,1),0)),10,"")</f>
        <v/>
      </c>
      <c r="L5" s="15">
        <f>IF(11&lt;=DAY(EOMONTH(DATE(Resumen!$B$2,9,1),0)),11,"")</f>
        <v/>
      </c>
      <c r="M5" s="15">
        <f>IF(12&lt;=DAY(EOMONTH(DATE(Resumen!$B$2,9,1),0)),12,"")</f>
        <v/>
      </c>
      <c r="N5" s="15">
        <f>IF(13&lt;=DAY(EOMONTH(DATE(Resumen!$B$2,9,1),0)),13,"")</f>
        <v/>
      </c>
      <c r="O5" s="15">
        <f>IF(14&lt;=DAY(EOMONTH(DATE(Resumen!$B$2,9,1),0)),14,"")</f>
        <v/>
      </c>
      <c r="P5" s="15">
        <f>IF(15&lt;=DAY(EOMONTH(DATE(Resumen!$B$2,9,1),0)),15,"")</f>
        <v/>
      </c>
      <c r="Q5" s="15">
        <f>IF(16&lt;=DAY(EOMONTH(DATE(Resumen!$B$2,9,1),0)),16,"")</f>
        <v/>
      </c>
      <c r="R5" s="15">
        <f>IF(17&lt;=DAY(EOMONTH(DATE(Resumen!$B$2,9,1),0)),17,"")</f>
        <v/>
      </c>
      <c r="S5" s="15">
        <f>IF(18&lt;=DAY(EOMONTH(DATE(Resumen!$B$2,9,1),0)),18,"")</f>
        <v/>
      </c>
      <c r="T5" s="15">
        <f>IF(19&lt;=DAY(EOMONTH(DATE(Resumen!$B$2,9,1),0)),19,"")</f>
        <v/>
      </c>
      <c r="U5" s="15">
        <f>IF(20&lt;=DAY(EOMONTH(DATE(Resumen!$B$2,9,1),0)),20,"")</f>
        <v/>
      </c>
      <c r="V5" s="15">
        <f>IF(21&lt;=DAY(EOMONTH(DATE(Resumen!$B$2,9,1),0)),21,"")</f>
        <v/>
      </c>
      <c r="W5" s="15">
        <f>IF(22&lt;=DAY(EOMONTH(DATE(Resumen!$B$2,9,1),0)),22,"")</f>
        <v/>
      </c>
      <c r="X5" s="15">
        <f>IF(23&lt;=DAY(EOMONTH(DATE(Resumen!$B$2,9,1),0)),23,"")</f>
        <v/>
      </c>
      <c r="Y5" s="15">
        <f>IF(24&lt;=DAY(EOMONTH(DATE(Resumen!$B$2,9,1),0)),24,"")</f>
        <v/>
      </c>
      <c r="Z5" s="15">
        <f>IF(25&lt;=DAY(EOMONTH(DATE(Resumen!$B$2,9,1),0)),25,"")</f>
        <v/>
      </c>
      <c r="AA5" s="15">
        <f>IF(26&lt;=DAY(EOMONTH(DATE(Resumen!$B$2,9,1),0)),26,"")</f>
        <v/>
      </c>
      <c r="AB5" s="15">
        <f>IF(27&lt;=DAY(EOMONTH(DATE(Resumen!$B$2,9,1),0)),27,"")</f>
        <v/>
      </c>
      <c r="AC5" s="15">
        <f>IF(28&lt;=DAY(EOMONTH(DATE(Resumen!$B$2,9,1),0)),28,"")</f>
        <v/>
      </c>
      <c r="AD5" s="15">
        <f>IF(29&lt;=DAY(EOMONTH(DATE(Resumen!$B$2,9,1),0)),29,"")</f>
        <v/>
      </c>
      <c r="AE5" s="15">
        <f>IF(30&lt;=DAY(EOMONTH(DATE(Resumen!$B$2,9,1),0)),30,"")</f>
        <v/>
      </c>
      <c r="AF5" s="15">
        <f>IF(31&lt;=DAY(EOMONTH(DATE(Resumen!$B$2,9,1),0)),31,"")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IF(B$5="","",MID("LMXJVSD",WEEKDAY(DATE(Resumen!$B$2,9,B$5),2),1))</f>
        <v/>
      </c>
      <c r="C6" s="15">
        <f>IF(C$5="","",MID("LMXJVSD",WEEKDAY(DATE(Resumen!$B$2,9,C$5),2),1))</f>
        <v/>
      </c>
      <c r="D6" s="15">
        <f>IF(D$5="","",MID("LMXJVSD",WEEKDAY(DATE(Resumen!$B$2,9,D$5),2),1))</f>
        <v/>
      </c>
      <c r="E6" s="15">
        <f>IF(E$5="","",MID("LMXJVSD",WEEKDAY(DATE(Resumen!$B$2,9,E$5),2),1))</f>
        <v/>
      </c>
      <c r="F6" s="15">
        <f>IF(F$5="","",MID("LMXJVSD",WEEKDAY(DATE(Resumen!$B$2,9,F$5),2),1))</f>
        <v/>
      </c>
      <c r="G6" s="15">
        <f>IF(G$5="","",MID("LMXJVSD",WEEKDAY(DATE(Resumen!$B$2,9,G$5),2),1))</f>
        <v/>
      </c>
      <c r="H6" s="15">
        <f>IF(H$5="","",MID("LMXJVSD",WEEKDAY(DATE(Resumen!$B$2,9,H$5),2),1))</f>
        <v/>
      </c>
      <c r="I6" s="15">
        <f>IF(I$5="","",MID("LMXJVSD",WEEKDAY(DATE(Resumen!$B$2,9,I$5),2),1))</f>
        <v/>
      </c>
      <c r="J6" s="15">
        <f>IF(J$5="","",MID("LMXJVSD",WEEKDAY(DATE(Resumen!$B$2,9,J$5),2),1))</f>
        <v/>
      </c>
      <c r="K6" s="15">
        <f>IF(K$5="","",MID("LMXJVSD",WEEKDAY(DATE(Resumen!$B$2,9,K$5),2),1))</f>
        <v/>
      </c>
      <c r="L6" s="15">
        <f>IF(L$5="","",MID("LMXJVSD",WEEKDAY(DATE(Resumen!$B$2,9,L$5),2),1))</f>
        <v/>
      </c>
      <c r="M6" s="15">
        <f>IF(M$5="","",MID("LMXJVSD",WEEKDAY(DATE(Resumen!$B$2,9,M$5),2),1))</f>
        <v/>
      </c>
      <c r="N6" s="15">
        <f>IF(N$5="","",MID("LMXJVSD",WEEKDAY(DATE(Resumen!$B$2,9,N$5),2),1))</f>
        <v/>
      </c>
      <c r="O6" s="15">
        <f>IF(O$5="","",MID("LMXJVSD",WEEKDAY(DATE(Resumen!$B$2,9,O$5),2),1))</f>
        <v/>
      </c>
      <c r="P6" s="15">
        <f>IF(P$5="","",MID("LMXJVSD",WEEKDAY(DATE(Resumen!$B$2,9,P$5),2),1))</f>
        <v/>
      </c>
      <c r="Q6" s="15">
        <f>IF(Q$5="","",MID("LMXJVSD",WEEKDAY(DATE(Resumen!$B$2,9,Q$5),2),1))</f>
        <v/>
      </c>
      <c r="R6" s="15">
        <f>IF(R$5="","",MID("LMXJVSD",WEEKDAY(DATE(Resumen!$B$2,9,R$5),2),1))</f>
        <v/>
      </c>
      <c r="S6" s="15">
        <f>IF(S$5="","",MID("LMXJVSD",WEEKDAY(DATE(Resumen!$B$2,9,S$5),2),1))</f>
        <v/>
      </c>
      <c r="T6" s="15">
        <f>IF(T$5="","",MID("LMXJVSD",WEEKDAY(DATE(Resumen!$B$2,9,T$5),2),1))</f>
        <v/>
      </c>
      <c r="U6" s="15">
        <f>IF(U$5="","",MID("LMXJVSD",WEEKDAY(DATE(Resumen!$B$2,9,U$5),2),1))</f>
        <v/>
      </c>
      <c r="V6" s="15">
        <f>IF(V$5="","",MID("LMXJVSD",WEEKDAY(DATE(Resumen!$B$2,9,V$5),2),1))</f>
        <v/>
      </c>
      <c r="W6" s="15">
        <f>IF(W$5="","",MID("LMXJVSD",WEEKDAY(DATE(Resumen!$B$2,9,W$5),2),1))</f>
        <v/>
      </c>
      <c r="X6" s="15">
        <f>IF(X$5="","",MID("LMXJVSD",WEEKDAY(DATE(Resumen!$B$2,9,X$5),2),1))</f>
        <v/>
      </c>
      <c r="Y6" s="15">
        <f>IF(Y$5="","",MID("LMXJVSD",WEEKDAY(DATE(Resumen!$B$2,9,Y$5),2),1))</f>
        <v/>
      </c>
      <c r="Z6" s="15">
        <f>IF(Z$5="","",MID("LMXJVSD",WEEKDAY(DATE(Resumen!$B$2,9,Z$5),2),1))</f>
        <v/>
      </c>
      <c r="AA6" s="15">
        <f>IF(AA$5="","",MID("LMXJVSD",WEEKDAY(DATE(Resumen!$B$2,9,AA$5),2),1))</f>
        <v/>
      </c>
      <c r="AB6" s="15">
        <f>IF(AB$5="","",MID("LMXJVSD",WEEKDAY(DATE(Resumen!$B$2,9,AB$5),2),1))</f>
        <v/>
      </c>
      <c r="AC6" s="15">
        <f>IF(AC$5="","",MID("LMXJVSD",WEEKDAY(DATE(Resumen!$B$2,9,AC$5),2),1))</f>
        <v/>
      </c>
      <c r="AD6" s="15">
        <f>IF(AD$5="","",MID("LMXJVSD",WEEKDAY(DATE(Resumen!$B$2,9,AD$5),2),1))</f>
        <v/>
      </c>
      <c r="AE6" s="15">
        <f>IF(AE$5="","",MID("LMXJVSD",WEEKDAY(DATE(Resumen!$B$2,9,AE$5),2),1))</f>
        <v/>
      </c>
      <c r="AF6" s="15">
        <f>IF(AF$5="","",MID("LMXJVSD",WEEKDAY(DATE(Resumen!$B$2,9,AF$5),2),1))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IF(B$5="","",IF(COUNTIFS(Festivos!$A$5:$A$239,Resumen!$E$2,Festivos!$B$5:$B$239,DATE(Resumen!$B$2,9,B$5))+COUNTIF(Festivos!$E$5:$E$24,DATE(Resumen!$B$2,9,B$5))&gt;0,"F",""))</f>
        <v/>
      </c>
      <c r="C7" s="15">
        <f>IF(C$5="","",IF(COUNTIFS(Festivos!$A$5:$A$239,Resumen!$E$2,Festivos!$B$5:$B$239,DATE(Resumen!$B$2,9,C$5))+COUNTIF(Festivos!$E$5:$E$24,DATE(Resumen!$B$2,9,C$5))&gt;0,"F",""))</f>
        <v/>
      </c>
      <c r="D7" s="15">
        <f>IF(D$5="","",IF(COUNTIFS(Festivos!$A$5:$A$239,Resumen!$E$2,Festivos!$B$5:$B$239,DATE(Resumen!$B$2,9,D$5))+COUNTIF(Festivos!$E$5:$E$24,DATE(Resumen!$B$2,9,D$5))&gt;0,"F",""))</f>
        <v/>
      </c>
      <c r="E7" s="15">
        <f>IF(E$5="","",IF(COUNTIFS(Festivos!$A$5:$A$239,Resumen!$E$2,Festivos!$B$5:$B$239,DATE(Resumen!$B$2,9,E$5))+COUNTIF(Festivos!$E$5:$E$24,DATE(Resumen!$B$2,9,E$5))&gt;0,"F",""))</f>
        <v/>
      </c>
      <c r="F7" s="15">
        <f>IF(F$5="","",IF(COUNTIFS(Festivos!$A$5:$A$239,Resumen!$E$2,Festivos!$B$5:$B$239,DATE(Resumen!$B$2,9,F$5))+COUNTIF(Festivos!$E$5:$E$24,DATE(Resumen!$B$2,9,F$5))&gt;0,"F",""))</f>
        <v/>
      </c>
      <c r="G7" s="15">
        <f>IF(G$5="","",IF(COUNTIFS(Festivos!$A$5:$A$239,Resumen!$E$2,Festivos!$B$5:$B$239,DATE(Resumen!$B$2,9,G$5))+COUNTIF(Festivos!$E$5:$E$24,DATE(Resumen!$B$2,9,G$5))&gt;0,"F",""))</f>
        <v/>
      </c>
      <c r="H7" s="15">
        <f>IF(H$5="","",IF(COUNTIFS(Festivos!$A$5:$A$239,Resumen!$E$2,Festivos!$B$5:$B$239,DATE(Resumen!$B$2,9,H$5))+COUNTIF(Festivos!$E$5:$E$24,DATE(Resumen!$B$2,9,H$5))&gt;0,"F",""))</f>
        <v/>
      </c>
      <c r="I7" s="15">
        <f>IF(I$5="","",IF(COUNTIFS(Festivos!$A$5:$A$239,Resumen!$E$2,Festivos!$B$5:$B$239,DATE(Resumen!$B$2,9,I$5))+COUNTIF(Festivos!$E$5:$E$24,DATE(Resumen!$B$2,9,I$5))&gt;0,"F",""))</f>
        <v/>
      </c>
      <c r="J7" s="15">
        <f>IF(J$5="","",IF(COUNTIFS(Festivos!$A$5:$A$239,Resumen!$E$2,Festivos!$B$5:$B$239,DATE(Resumen!$B$2,9,J$5))+COUNTIF(Festivos!$E$5:$E$24,DATE(Resumen!$B$2,9,J$5))&gt;0,"F",""))</f>
        <v/>
      </c>
      <c r="K7" s="15">
        <f>IF(K$5="","",IF(COUNTIFS(Festivos!$A$5:$A$239,Resumen!$E$2,Festivos!$B$5:$B$239,DATE(Resumen!$B$2,9,K$5))+COUNTIF(Festivos!$E$5:$E$24,DATE(Resumen!$B$2,9,K$5))&gt;0,"F",""))</f>
        <v/>
      </c>
      <c r="L7" s="15">
        <f>IF(L$5="","",IF(COUNTIFS(Festivos!$A$5:$A$239,Resumen!$E$2,Festivos!$B$5:$B$239,DATE(Resumen!$B$2,9,L$5))+COUNTIF(Festivos!$E$5:$E$24,DATE(Resumen!$B$2,9,L$5))&gt;0,"F",""))</f>
        <v/>
      </c>
      <c r="M7" s="15">
        <f>IF(M$5="","",IF(COUNTIFS(Festivos!$A$5:$A$239,Resumen!$E$2,Festivos!$B$5:$B$239,DATE(Resumen!$B$2,9,M$5))+COUNTIF(Festivos!$E$5:$E$24,DATE(Resumen!$B$2,9,M$5))&gt;0,"F",""))</f>
        <v/>
      </c>
      <c r="N7" s="15">
        <f>IF(N$5="","",IF(COUNTIFS(Festivos!$A$5:$A$239,Resumen!$E$2,Festivos!$B$5:$B$239,DATE(Resumen!$B$2,9,N$5))+COUNTIF(Festivos!$E$5:$E$24,DATE(Resumen!$B$2,9,N$5))&gt;0,"F",""))</f>
        <v/>
      </c>
      <c r="O7" s="15">
        <f>IF(O$5="","",IF(COUNTIFS(Festivos!$A$5:$A$239,Resumen!$E$2,Festivos!$B$5:$B$239,DATE(Resumen!$B$2,9,O$5))+COUNTIF(Festivos!$E$5:$E$24,DATE(Resumen!$B$2,9,O$5))&gt;0,"F",""))</f>
        <v/>
      </c>
      <c r="P7" s="15">
        <f>IF(P$5="","",IF(COUNTIFS(Festivos!$A$5:$A$239,Resumen!$E$2,Festivos!$B$5:$B$239,DATE(Resumen!$B$2,9,P$5))+COUNTIF(Festivos!$E$5:$E$24,DATE(Resumen!$B$2,9,P$5))&gt;0,"F",""))</f>
        <v/>
      </c>
      <c r="Q7" s="15">
        <f>IF(Q$5="","",IF(COUNTIFS(Festivos!$A$5:$A$239,Resumen!$E$2,Festivos!$B$5:$B$239,DATE(Resumen!$B$2,9,Q$5))+COUNTIF(Festivos!$E$5:$E$24,DATE(Resumen!$B$2,9,Q$5))&gt;0,"F",""))</f>
        <v/>
      </c>
      <c r="R7" s="15">
        <f>IF(R$5="","",IF(COUNTIFS(Festivos!$A$5:$A$239,Resumen!$E$2,Festivos!$B$5:$B$239,DATE(Resumen!$B$2,9,R$5))+COUNTIF(Festivos!$E$5:$E$24,DATE(Resumen!$B$2,9,R$5))&gt;0,"F",""))</f>
        <v/>
      </c>
      <c r="S7" s="15">
        <f>IF(S$5="","",IF(COUNTIFS(Festivos!$A$5:$A$239,Resumen!$E$2,Festivos!$B$5:$B$239,DATE(Resumen!$B$2,9,S$5))+COUNTIF(Festivos!$E$5:$E$24,DATE(Resumen!$B$2,9,S$5))&gt;0,"F",""))</f>
        <v/>
      </c>
      <c r="T7" s="15">
        <f>IF(T$5="","",IF(COUNTIFS(Festivos!$A$5:$A$239,Resumen!$E$2,Festivos!$B$5:$B$239,DATE(Resumen!$B$2,9,T$5))+COUNTIF(Festivos!$E$5:$E$24,DATE(Resumen!$B$2,9,T$5))&gt;0,"F",""))</f>
        <v/>
      </c>
      <c r="U7" s="15">
        <f>IF(U$5="","",IF(COUNTIFS(Festivos!$A$5:$A$239,Resumen!$E$2,Festivos!$B$5:$B$239,DATE(Resumen!$B$2,9,U$5))+COUNTIF(Festivos!$E$5:$E$24,DATE(Resumen!$B$2,9,U$5))&gt;0,"F",""))</f>
        <v/>
      </c>
      <c r="V7" s="15">
        <f>IF(V$5="","",IF(COUNTIFS(Festivos!$A$5:$A$239,Resumen!$E$2,Festivos!$B$5:$B$239,DATE(Resumen!$B$2,9,V$5))+COUNTIF(Festivos!$E$5:$E$24,DATE(Resumen!$B$2,9,V$5))&gt;0,"F",""))</f>
        <v/>
      </c>
      <c r="W7" s="15">
        <f>IF(W$5="","",IF(COUNTIFS(Festivos!$A$5:$A$239,Resumen!$E$2,Festivos!$B$5:$B$239,DATE(Resumen!$B$2,9,W$5))+COUNTIF(Festivos!$E$5:$E$24,DATE(Resumen!$B$2,9,W$5))&gt;0,"F",""))</f>
        <v/>
      </c>
      <c r="X7" s="15">
        <f>IF(X$5="","",IF(COUNTIFS(Festivos!$A$5:$A$239,Resumen!$E$2,Festivos!$B$5:$B$239,DATE(Resumen!$B$2,9,X$5))+COUNTIF(Festivos!$E$5:$E$24,DATE(Resumen!$B$2,9,X$5))&gt;0,"F",""))</f>
        <v/>
      </c>
      <c r="Y7" s="15">
        <f>IF(Y$5="","",IF(COUNTIFS(Festivos!$A$5:$A$239,Resumen!$E$2,Festivos!$B$5:$B$239,DATE(Resumen!$B$2,9,Y$5))+COUNTIF(Festivos!$E$5:$E$24,DATE(Resumen!$B$2,9,Y$5))&gt;0,"F",""))</f>
        <v/>
      </c>
      <c r="Z7" s="15">
        <f>IF(Z$5="","",IF(COUNTIFS(Festivos!$A$5:$A$239,Resumen!$E$2,Festivos!$B$5:$B$239,DATE(Resumen!$B$2,9,Z$5))+COUNTIF(Festivos!$E$5:$E$24,DATE(Resumen!$B$2,9,Z$5))&gt;0,"F",""))</f>
        <v/>
      </c>
      <c r="AA7" s="15">
        <f>IF(AA$5="","",IF(COUNTIFS(Festivos!$A$5:$A$239,Resumen!$E$2,Festivos!$B$5:$B$239,DATE(Resumen!$B$2,9,AA$5))+COUNTIF(Festivos!$E$5:$E$24,DATE(Resumen!$B$2,9,AA$5))&gt;0,"F",""))</f>
        <v/>
      </c>
      <c r="AB7" s="15">
        <f>IF(AB$5="","",IF(COUNTIFS(Festivos!$A$5:$A$239,Resumen!$E$2,Festivos!$B$5:$B$239,DATE(Resumen!$B$2,9,AB$5))+COUNTIF(Festivos!$E$5:$E$24,DATE(Resumen!$B$2,9,AB$5))&gt;0,"F",""))</f>
        <v/>
      </c>
      <c r="AC7" s="15">
        <f>IF(AC$5="","",IF(COUNTIFS(Festivos!$A$5:$A$239,Resumen!$E$2,Festivos!$B$5:$B$239,DATE(Resumen!$B$2,9,AC$5))+COUNTIF(Festivos!$E$5:$E$24,DATE(Resumen!$B$2,9,AC$5))&gt;0,"F",""))</f>
        <v/>
      </c>
      <c r="AD7" s="15">
        <f>IF(AD$5="","",IF(COUNTIFS(Festivos!$A$5:$A$239,Resumen!$E$2,Festivos!$B$5:$B$239,DATE(Resumen!$B$2,9,AD$5))+COUNTIF(Festivos!$E$5:$E$24,DATE(Resumen!$B$2,9,AD$5))&gt;0,"F",""))</f>
        <v/>
      </c>
      <c r="AE7" s="15">
        <f>IF(AE$5="","",IF(COUNTIFS(Festivos!$A$5:$A$239,Resumen!$E$2,Festivos!$B$5:$B$239,DATE(Resumen!$B$2,9,AE$5))+COUNTIF(Festivos!$E$5:$E$24,DATE(Resumen!$B$2,9,AE$5))&gt;0,"F",""))</f>
        <v/>
      </c>
      <c r="AF7" s="15">
        <f>IF(AF$5="","",IF(COUNTIFS(Festivos!$A$5:$A$239,Resumen!$E$2,Festivos!$B$5:$B$239,DATE(Resumen!$B$2,9,AF$5))+COUNTIF(Festivos!$E$5:$E$24,DATE(Resumen!$B$2,9,AF$5))&gt;0,"F",""))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"Octubre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IF(1&lt;=DAY(EOMONTH(DATE(Resumen!$B$2,10,1),0)),1,"")</f>
        <v/>
      </c>
      <c r="C5" s="15">
        <f>IF(2&lt;=DAY(EOMONTH(DATE(Resumen!$B$2,10,1),0)),2,"")</f>
        <v/>
      </c>
      <c r="D5" s="15">
        <f>IF(3&lt;=DAY(EOMONTH(DATE(Resumen!$B$2,10,1),0)),3,"")</f>
        <v/>
      </c>
      <c r="E5" s="15">
        <f>IF(4&lt;=DAY(EOMONTH(DATE(Resumen!$B$2,10,1),0)),4,"")</f>
        <v/>
      </c>
      <c r="F5" s="15">
        <f>IF(5&lt;=DAY(EOMONTH(DATE(Resumen!$B$2,10,1),0)),5,"")</f>
        <v/>
      </c>
      <c r="G5" s="15">
        <f>IF(6&lt;=DAY(EOMONTH(DATE(Resumen!$B$2,10,1),0)),6,"")</f>
        <v/>
      </c>
      <c r="H5" s="15">
        <f>IF(7&lt;=DAY(EOMONTH(DATE(Resumen!$B$2,10,1),0)),7,"")</f>
        <v/>
      </c>
      <c r="I5" s="15">
        <f>IF(8&lt;=DAY(EOMONTH(DATE(Resumen!$B$2,10,1),0)),8,"")</f>
        <v/>
      </c>
      <c r="J5" s="15">
        <f>IF(9&lt;=DAY(EOMONTH(DATE(Resumen!$B$2,10,1),0)),9,"")</f>
        <v/>
      </c>
      <c r="K5" s="15">
        <f>IF(10&lt;=DAY(EOMONTH(DATE(Resumen!$B$2,10,1),0)),10,"")</f>
        <v/>
      </c>
      <c r="L5" s="15">
        <f>IF(11&lt;=DAY(EOMONTH(DATE(Resumen!$B$2,10,1),0)),11,"")</f>
        <v/>
      </c>
      <c r="M5" s="15">
        <f>IF(12&lt;=DAY(EOMONTH(DATE(Resumen!$B$2,10,1),0)),12,"")</f>
        <v/>
      </c>
      <c r="N5" s="15">
        <f>IF(13&lt;=DAY(EOMONTH(DATE(Resumen!$B$2,10,1),0)),13,"")</f>
        <v/>
      </c>
      <c r="O5" s="15">
        <f>IF(14&lt;=DAY(EOMONTH(DATE(Resumen!$B$2,10,1),0)),14,"")</f>
        <v/>
      </c>
      <c r="P5" s="15">
        <f>IF(15&lt;=DAY(EOMONTH(DATE(Resumen!$B$2,10,1),0)),15,"")</f>
        <v/>
      </c>
      <c r="Q5" s="15">
        <f>IF(16&lt;=DAY(EOMONTH(DATE(Resumen!$B$2,10,1),0)),16,"")</f>
        <v/>
      </c>
      <c r="R5" s="15">
        <f>IF(17&lt;=DAY(EOMONTH(DATE(Resumen!$B$2,10,1),0)),17,"")</f>
        <v/>
      </c>
      <c r="S5" s="15">
        <f>IF(18&lt;=DAY(EOMONTH(DATE(Resumen!$B$2,10,1),0)),18,"")</f>
        <v/>
      </c>
      <c r="T5" s="15">
        <f>IF(19&lt;=DAY(EOMONTH(DATE(Resumen!$B$2,10,1),0)),19,"")</f>
        <v/>
      </c>
      <c r="U5" s="15">
        <f>IF(20&lt;=DAY(EOMONTH(DATE(Resumen!$B$2,10,1),0)),20,"")</f>
        <v/>
      </c>
      <c r="V5" s="15">
        <f>IF(21&lt;=DAY(EOMONTH(DATE(Resumen!$B$2,10,1),0)),21,"")</f>
        <v/>
      </c>
      <c r="W5" s="15">
        <f>IF(22&lt;=DAY(EOMONTH(DATE(Resumen!$B$2,10,1),0)),22,"")</f>
        <v/>
      </c>
      <c r="X5" s="15">
        <f>IF(23&lt;=DAY(EOMONTH(DATE(Resumen!$B$2,10,1),0)),23,"")</f>
        <v/>
      </c>
      <c r="Y5" s="15">
        <f>IF(24&lt;=DAY(EOMONTH(DATE(Resumen!$B$2,10,1),0)),24,"")</f>
        <v/>
      </c>
      <c r="Z5" s="15">
        <f>IF(25&lt;=DAY(EOMONTH(DATE(Resumen!$B$2,10,1),0)),25,"")</f>
        <v/>
      </c>
      <c r="AA5" s="15">
        <f>IF(26&lt;=DAY(EOMONTH(DATE(Resumen!$B$2,10,1),0)),26,"")</f>
        <v/>
      </c>
      <c r="AB5" s="15">
        <f>IF(27&lt;=DAY(EOMONTH(DATE(Resumen!$B$2,10,1),0)),27,"")</f>
        <v/>
      </c>
      <c r="AC5" s="15">
        <f>IF(28&lt;=DAY(EOMONTH(DATE(Resumen!$B$2,10,1),0)),28,"")</f>
        <v/>
      </c>
      <c r="AD5" s="15">
        <f>IF(29&lt;=DAY(EOMONTH(DATE(Resumen!$B$2,10,1),0)),29,"")</f>
        <v/>
      </c>
      <c r="AE5" s="15">
        <f>IF(30&lt;=DAY(EOMONTH(DATE(Resumen!$B$2,10,1),0)),30,"")</f>
        <v/>
      </c>
      <c r="AF5" s="15">
        <f>IF(31&lt;=DAY(EOMONTH(DATE(Resumen!$B$2,10,1),0)),31,"")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IF(B$5="","",MID("LMXJVSD",WEEKDAY(DATE(Resumen!$B$2,10,B$5),2),1))</f>
        <v/>
      </c>
      <c r="C6" s="15">
        <f>IF(C$5="","",MID("LMXJVSD",WEEKDAY(DATE(Resumen!$B$2,10,C$5),2),1))</f>
        <v/>
      </c>
      <c r="D6" s="15">
        <f>IF(D$5="","",MID("LMXJVSD",WEEKDAY(DATE(Resumen!$B$2,10,D$5),2),1))</f>
        <v/>
      </c>
      <c r="E6" s="15">
        <f>IF(E$5="","",MID("LMXJVSD",WEEKDAY(DATE(Resumen!$B$2,10,E$5),2),1))</f>
        <v/>
      </c>
      <c r="F6" s="15">
        <f>IF(F$5="","",MID("LMXJVSD",WEEKDAY(DATE(Resumen!$B$2,10,F$5),2),1))</f>
        <v/>
      </c>
      <c r="G6" s="15">
        <f>IF(G$5="","",MID("LMXJVSD",WEEKDAY(DATE(Resumen!$B$2,10,G$5),2),1))</f>
        <v/>
      </c>
      <c r="H6" s="15">
        <f>IF(H$5="","",MID("LMXJVSD",WEEKDAY(DATE(Resumen!$B$2,10,H$5),2),1))</f>
        <v/>
      </c>
      <c r="I6" s="15">
        <f>IF(I$5="","",MID("LMXJVSD",WEEKDAY(DATE(Resumen!$B$2,10,I$5),2),1))</f>
        <v/>
      </c>
      <c r="J6" s="15">
        <f>IF(J$5="","",MID("LMXJVSD",WEEKDAY(DATE(Resumen!$B$2,10,J$5),2),1))</f>
        <v/>
      </c>
      <c r="K6" s="15">
        <f>IF(K$5="","",MID("LMXJVSD",WEEKDAY(DATE(Resumen!$B$2,10,K$5),2),1))</f>
        <v/>
      </c>
      <c r="L6" s="15">
        <f>IF(L$5="","",MID("LMXJVSD",WEEKDAY(DATE(Resumen!$B$2,10,L$5),2),1))</f>
        <v/>
      </c>
      <c r="M6" s="15">
        <f>IF(M$5="","",MID("LMXJVSD",WEEKDAY(DATE(Resumen!$B$2,10,M$5),2),1))</f>
        <v/>
      </c>
      <c r="N6" s="15">
        <f>IF(N$5="","",MID("LMXJVSD",WEEKDAY(DATE(Resumen!$B$2,10,N$5),2),1))</f>
        <v/>
      </c>
      <c r="O6" s="15">
        <f>IF(O$5="","",MID("LMXJVSD",WEEKDAY(DATE(Resumen!$B$2,10,O$5),2),1))</f>
        <v/>
      </c>
      <c r="P6" s="15">
        <f>IF(P$5="","",MID("LMXJVSD",WEEKDAY(DATE(Resumen!$B$2,10,P$5),2),1))</f>
        <v/>
      </c>
      <c r="Q6" s="15">
        <f>IF(Q$5="","",MID("LMXJVSD",WEEKDAY(DATE(Resumen!$B$2,10,Q$5),2),1))</f>
        <v/>
      </c>
      <c r="R6" s="15">
        <f>IF(R$5="","",MID("LMXJVSD",WEEKDAY(DATE(Resumen!$B$2,10,R$5),2),1))</f>
        <v/>
      </c>
      <c r="S6" s="15">
        <f>IF(S$5="","",MID("LMXJVSD",WEEKDAY(DATE(Resumen!$B$2,10,S$5),2),1))</f>
        <v/>
      </c>
      <c r="T6" s="15">
        <f>IF(T$5="","",MID("LMXJVSD",WEEKDAY(DATE(Resumen!$B$2,10,T$5),2),1))</f>
        <v/>
      </c>
      <c r="U6" s="15">
        <f>IF(U$5="","",MID("LMXJVSD",WEEKDAY(DATE(Resumen!$B$2,10,U$5),2),1))</f>
        <v/>
      </c>
      <c r="V6" s="15">
        <f>IF(V$5="","",MID("LMXJVSD",WEEKDAY(DATE(Resumen!$B$2,10,V$5),2),1))</f>
        <v/>
      </c>
      <c r="W6" s="15">
        <f>IF(W$5="","",MID("LMXJVSD",WEEKDAY(DATE(Resumen!$B$2,10,W$5),2),1))</f>
        <v/>
      </c>
      <c r="X6" s="15">
        <f>IF(X$5="","",MID("LMXJVSD",WEEKDAY(DATE(Resumen!$B$2,10,X$5),2),1))</f>
        <v/>
      </c>
      <c r="Y6" s="15">
        <f>IF(Y$5="","",MID("LMXJVSD",WEEKDAY(DATE(Resumen!$B$2,10,Y$5),2),1))</f>
        <v/>
      </c>
      <c r="Z6" s="15">
        <f>IF(Z$5="","",MID("LMXJVSD",WEEKDAY(DATE(Resumen!$B$2,10,Z$5),2),1))</f>
        <v/>
      </c>
      <c r="AA6" s="15">
        <f>IF(AA$5="","",MID("LMXJVSD",WEEKDAY(DATE(Resumen!$B$2,10,AA$5),2),1))</f>
        <v/>
      </c>
      <c r="AB6" s="15">
        <f>IF(AB$5="","",MID("LMXJVSD",WEEKDAY(DATE(Resumen!$B$2,10,AB$5),2),1))</f>
        <v/>
      </c>
      <c r="AC6" s="15">
        <f>IF(AC$5="","",MID("LMXJVSD",WEEKDAY(DATE(Resumen!$B$2,10,AC$5),2),1))</f>
        <v/>
      </c>
      <c r="AD6" s="15">
        <f>IF(AD$5="","",MID("LMXJVSD",WEEKDAY(DATE(Resumen!$B$2,10,AD$5),2),1))</f>
        <v/>
      </c>
      <c r="AE6" s="15">
        <f>IF(AE$5="","",MID("LMXJVSD",WEEKDAY(DATE(Resumen!$B$2,10,AE$5),2),1))</f>
        <v/>
      </c>
      <c r="AF6" s="15">
        <f>IF(AF$5="","",MID("LMXJVSD",WEEKDAY(DATE(Resumen!$B$2,10,AF$5),2),1))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IF(B$5="","",IF(COUNTIFS(Festivos!$A$5:$A$239,Resumen!$E$2,Festivos!$B$5:$B$239,DATE(Resumen!$B$2,10,B$5))+COUNTIF(Festivos!$E$5:$E$24,DATE(Resumen!$B$2,10,B$5))&gt;0,"F",""))</f>
        <v/>
      </c>
      <c r="C7" s="15">
        <f>IF(C$5="","",IF(COUNTIFS(Festivos!$A$5:$A$239,Resumen!$E$2,Festivos!$B$5:$B$239,DATE(Resumen!$B$2,10,C$5))+COUNTIF(Festivos!$E$5:$E$24,DATE(Resumen!$B$2,10,C$5))&gt;0,"F",""))</f>
        <v/>
      </c>
      <c r="D7" s="15">
        <f>IF(D$5="","",IF(COUNTIFS(Festivos!$A$5:$A$239,Resumen!$E$2,Festivos!$B$5:$B$239,DATE(Resumen!$B$2,10,D$5))+COUNTIF(Festivos!$E$5:$E$24,DATE(Resumen!$B$2,10,D$5))&gt;0,"F",""))</f>
        <v/>
      </c>
      <c r="E7" s="15">
        <f>IF(E$5="","",IF(COUNTIFS(Festivos!$A$5:$A$239,Resumen!$E$2,Festivos!$B$5:$B$239,DATE(Resumen!$B$2,10,E$5))+COUNTIF(Festivos!$E$5:$E$24,DATE(Resumen!$B$2,10,E$5))&gt;0,"F",""))</f>
        <v/>
      </c>
      <c r="F7" s="15">
        <f>IF(F$5="","",IF(COUNTIFS(Festivos!$A$5:$A$239,Resumen!$E$2,Festivos!$B$5:$B$239,DATE(Resumen!$B$2,10,F$5))+COUNTIF(Festivos!$E$5:$E$24,DATE(Resumen!$B$2,10,F$5))&gt;0,"F",""))</f>
        <v/>
      </c>
      <c r="G7" s="15">
        <f>IF(G$5="","",IF(COUNTIFS(Festivos!$A$5:$A$239,Resumen!$E$2,Festivos!$B$5:$B$239,DATE(Resumen!$B$2,10,G$5))+COUNTIF(Festivos!$E$5:$E$24,DATE(Resumen!$B$2,10,G$5))&gt;0,"F",""))</f>
        <v/>
      </c>
      <c r="H7" s="15">
        <f>IF(H$5="","",IF(COUNTIFS(Festivos!$A$5:$A$239,Resumen!$E$2,Festivos!$B$5:$B$239,DATE(Resumen!$B$2,10,H$5))+COUNTIF(Festivos!$E$5:$E$24,DATE(Resumen!$B$2,10,H$5))&gt;0,"F",""))</f>
        <v/>
      </c>
      <c r="I7" s="15">
        <f>IF(I$5="","",IF(COUNTIFS(Festivos!$A$5:$A$239,Resumen!$E$2,Festivos!$B$5:$B$239,DATE(Resumen!$B$2,10,I$5))+COUNTIF(Festivos!$E$5:$E$24,DATE(Resumen!$B$2,10,I$5))&gt;0,"F",""))</f>
        <v/>
      </c>
      <c r="J7" s="15">
        <f>IF(J$5="","",IF(COUNTIFS(Festivos!$A$5:$A$239,Resumen!$E$2,Festivos!$B$5:$B$239,DATE(Resumen!$B$2,10,J$5))+COUNTIF(Festivos!$E$5:$E$24,DATE(Resumen!$B$2,10,J$5))&gt;0,"F",""))</f>
        <v/>
      </c>
      <c r="K7" s="15">
        <f>IF(K$5="","",IF(COUNTIFS(Festivos!$A$5:$A$239,Resumen!$E$2,Festivos!$B$5:$B$239,DATE(Resumen!$B$2,10,K$5))+COUNTIF(Festivos!$E$5:$E$24,DATE(Resumen!$B$2,10,K$5))&gt;0,"F",""))</f>
        <v/>
      </c>
      <c r="L7" s="15">
        <f>IF(L$5="","",IF(COUNTIFS(Festivos!$A$5:$A$239,Resumen!$E$2,Festivos!$B$5:$B$239,DATE(Resumen!$B$2,10,L$5))+COUNTIF(Festivos!$E$5:$E$24,DATE(Resumen!$B$2,10,L$5))&gt;0,"F",""))</f>
        <v/>
      </c>
      <c r="M7" s="15">
        <f>IF(M$5="","",IF(COUNTIFS(Festivos!$A$5:$A$239,Resumen!$E$2,Festivos!$B$5:$B$239,DATE(Resumen!$B$2,10,M$5))+COUNTIF(Festivos!$E$5:$E$24,DATE(Resumen!$B$2,10,M$5))&gt;0,"F",""))</f>
        <v/>
      </c>
      <c r="N7" s="15">
        <f>IF(N$5="","",IF(COUNTIFS(Festivos!$A$5:$A$239,Resumen!$E$2,Festivos!$B$5:$B$239,DATE(Resumen!$B$2,10,N$5))+COUNTIF(Festivos!$E$5:$E$24,DATE(Resumen!$B$2,10,N$5))&gt;0,"F",""))</f>
        <v/>
      </c>
      <c r="O7" s="15">
        <f>IF(O$5="","",IF(COUNTIFS(Festivos!$A$5:$A$239,Resumen!$E$2,Festivos!$B$5:$B$239,DATE(Resumen!$B$2,10,O$5))+COUNTIF(Festivos!$E$5:$E$24,DATE(Resumen!$B$2,10,O$5))&gt;0,"F",""))</f>
        <v/>
      </c>
      <c r="P7" s="15">
        <f>IF(P$5="","",IF(COUNTIFS(Festivos!$A$5:$A$239,Resumen!$E$2,Festivos!$B$5:$B$239,DATE(Resumen!$B$2,10,P$5))+COUNTIF(Festivos!$E$5:$E$24,DATE(Resumen!$B$2,10,P$5))&gt;0,"F",""))</f>
        <v/>
      </c>
      <c r="Q7" s="15">
        <f>IF(Q$5="","",IF(COUNTIFS(Festivos!$A$5:$A$239,Resumen!$E$2,Festivos!$B$5:$B$239,DATE(Resumen!$B$2,10,Q$5))+COUNTIF(Festivos!$E$5:$E$24,DATE(Resumen!$B$2,10,Q$5))&gt;0,"F",""))</f>
        <v/>
      </c>
      <c r="R7" s="15">
        <f>IF(R$5="","",IF(COUNTIFS(Festivos!$A$5:$A$239,Resumen!$E$2,Festivos!$B$5:$B$239,DATE(Resumen!$B$2,10,R$5))+COUNTIF(Festivos!$E$5:$E$24,DATE(Resumen!$B$2,10,R$5))&gt;0,"F",""))</f>
        <v/>
      </c>
      <c r="S7" s="15">
        <f>IF(S$5="","",IF(COUNTIFS(Festivos!$A$5:$A$239,Resumen!$E$2,Festivos!$B$5:$B$239,DATE(Resumen!$B$2,10,S$5))+COUNTIF(Festivos!$E$5:$E$24,DATE(Resumen!$B$2,10,S$5))&gt;0,"F",""))</f>
        <v/>
      </c>
      <c r="T7" s="15">
        <f>IF(T$5="","",IF(COUNTIFS(Festivos!$A$5:$A$239,Resumen!$E$2,Festivos!$B$5:$B$239,DATE(Resumen!$B$2,10,T$5))+COUNTIF(Festivos!$E$5:$E$24,DATE(Resumen!$B$2,10,T$5))&gt;0,"F",""))</f>
        <v/>
      </c>
      <c r="U7" s="15">
        <f>IF(U$5="","",IF(COUNTIFS(Festivos!$A$5:$A$239,Resumen!$E$2,Festivos!$B$5:$B$239,DATE(Resumen!$B$2,10,U$5))+COUNTIF(Festivos!$E$5:$E$24,DATE(Resumen!$B$2,10,U$5))&gt;0,"F",""))</f>
        <v/>
      </c>
      <c r="V7" s="15">
        <f>IF(V$5="","",IF(COUNTIFS(Festivos!$A$5:$A$239,Resumen!$E$2,Festivos!$B$5:$B$239,DATE(Resumen!$B$2,10,V$5))+COUNTIF(Festivos!$E$5:$E$24,DATE(Resumen!$B$2,10,V$5))&gt;0,"F",""))</f>
        <v/>
      </c>
      <c r="W7" s="15">
        <f>IF(W$5="","",IF(COUNTIFS(Festivos!$A$5:$A$239,Resumen!$E$2,Festivos!$B$5:$B$239,DATE(Resumen!$B$2,10,W$5))+COUNTIF(Festivos!$E$5:$E$24,DATE(Resumen!$B$2,10,W$5))&gt;0,"F",""))</f>
        <v/>
      </c>
      <c r="X7" s="15">
        <f>IF(X$5="","",IF(COUNTIFS(Festivos!$A$5:$A$239,Resumen!$E$2,Festivos!$B$5:$B$239,DATE(Resumen!$B$2,10,X$5))+COUNTIF(Festivos!$E$5:$E$24,DATE(Resumen!$B$2,10,X$5))&gt;0,"F",""))</f>
        <v/>
      </c>
      <c r="Y7" s="15">
        <f>IF(Y$5="","",IF(COUNTIFS(Festivos!$A$5:$A$239,Resumen!$E$2,Festivos!$B$5:$B$239,DATE(Resumen!$B$2,10,Y$5))+COUNTIF(Festivos!$E$5:$E$24,DATE(Resumen!$B$2,10,Y$5))&gt;0,"F",""))</f>
        <v/>
      </c>
      <c r="Z7" s="15">
        <f>IF(Z$5="","",IF(COUNTIFS(Festivos!$A$5:$A$239,Resumen!$E$2,Festivos!$B$5:$B$239,DATE(Resumen!$B$2,10,Z$5))+COUNTIF(Festivos!$E$5:$E$24,DATE(Resumen!$B$2,10,Z$5))&gt;0,"F",""))</f>
        <v/>
      </c>
      <c r="AA7" s="15">
        <f>IF(AA$5="","",IF(COUNTIFS(Festivos!$A$5:$A$239,Resumen!$E$2,Festivos!$B$5:$B$239,DATE(Resumen!$B$2,10,AA$5))+COUNTIF(Festivos!$E$5:$E$24,DATE(Resumen!$B$2,10,AA$5))&gt;0,"F",""))</f>
        <v/>
      </c>
      <c r="AB7" s="15">
        <f>IF(AB$5="","",IF(COUNTIFS(Festivos!$A$5:$A$239,Resumen!$E$2,Festivos!$B$5:$B$239,DATE(Resumen!$B$2,10,AB$5))+COUNTIF(Festivos!$E$5:$E$24,DATE(Resumen!$B$2,10,AB$5))&gt;0,"F",""))</f>
        <v/>
      </c>
      <c r="AC7" s="15">
        <f>IF(AC$5="","",IF(COUNTIFS(Festivos!$A$5:$A$239,Resumen!$E$2,Festivos!$B$5:$B$239,DATE(Resumen!$B$2,10,AC$5))+COUNTIF(Festivos!$E$5:$E$24,DATE(Resumen!$B$2,10,AC$5))&gt;0,"F",""))</f>
        <v/>
      </c>
      <c r="AD7" s="15">
        <f>IF(AD$5="","",IF(COUNTIFS(Festivos!$A$5:$A$239,Resumen!$E$2,Festivos!$B$5:$B$239,DATE(Resumen!$B$2,10,AD$5))+COUNTIF(Festivos!$E$5:$E$24,DATE(Resumen!$B$2,10,AD$5))&gt;0,"F",""))</f>
        <v/>
      </c>
      <c r="AE7" s="15">
        <f>IF(AE$5="","",IF(COUNTIFS(Festivos!$A$5:$A$239,Resumen!$E$2,Festivos!$B$5:$B$239,DATE(Resumen!$B$2,10,AE$5))+COUNTIF(Festivos!$E$5:$E$24,DATE(Resumen!$B$2,10,AE$5))&gt;0,"F",""))</f>
        <v/>
      </c>
      <c r="AF7" s="15">
        <f>IF(AF$5="","",IF(COUNTIFS(Festivos!$A$5:$A$239,Resumen!$E$2,Festivos!$B$5:$B$239,DATE(Resumen!$B$2,10,AF$5))+COUNTIF(Festivos!$E$5:$E$24,DATE(Resumen!$B$2,10,AF$5))&gt;0,"F",""))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"Noviembre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IF(1&lt;=DAY(EOMONTH(DATE(Resumen!$B$2,11,1),0)),1,"")</f>
        <v/>
      </c>
      <c r="C5" s="15">
        <f>IF(2&lt;=DAY(EOMONTH(DATE(Resumen!$B$2,11,1),0)),2,"")</f>
        <v/>
      </c>
      <c r="D5" s="15">
        <f>IF(3&lt;=DAY(EOMONTH(DATE(Resumen!$B$2,11,1),0)),3,"")</f>
        <v/>
      </c>
      <c r="E5" s="15">
        <f>IF(4&lt;=DAY(EOMONTH(DATE(Resumen!$B$2,11,1),0)),4,"")</f>
        <v/>
      </c>
      <c r="F5" s="15">
        <f>IF(5&lt;=DAY(EOMONTH(DATE(Resumen!$B$2,11,1),0)),5,"")</f>
        <v/>
      </c>
      <c r="G5" s="15">
        <f>IF(6&lt;=DAY(EOMONTH(DATE(Resumen!$B$2,11,1),0)),6,"")</f>
        <v/>
      </c>
      <c r="H5" s="15">
        <f>IF(7&lt;=DAY(EOMONTH(DATE(Resumen!$B$2,11,1),0)),7,"")</f>
        <v/>
      </c>
      <c r="I5" s="15">
        <f>IF(8&lt;=DAY(EOMONTH(DATE(Resumen!$B$2,11,1),0)),8,"")</f>
        <v/>
      </c>
      <c r="J5" s="15">
        <f>IF(9&lt;=DAY(EOMONTH(DATE(Resumen!$B$2,11,1),0)),9,"")</f>
        <v/>
      </c>
      <c r="K5" s="15">
        <f>IF(10&lt;=DAY(EOMONTH(DATE(Resumen!$B$2,11,1),0)),10,"")</f>
        <v/>
      </c>
      <c r="L5" s="15">
        <f>IF(11&lt;=DAY(EOMONTH(DATE(Resumen!$B$2,11,1),0)),11,"")</f>
        <v/>
      </c>
      <c r="M5" s="15">
        <f>IF(12&lt;=DAY(EOMONTH(DATE(Resumen!$B$2,11,1),0)),12,"")</f>
        <v/>
      </c>
      <c r="N5" s="15">
        <f>IF(13&lt;=DAY(EOMONTH(DATE(Resumen!$B$2,11,1),0)),13,"")</f>
        <v/>
      </c>
      <c r="O5" s="15">
        <f>IF(14&lt;=DAY(EOMONTH(DATE(Resumen!$B$2,11,1),0)),14,"")</f>
        <v/>
      </c>
      <c r="P5" s="15">
        <f>IF(15&lt;=DAY(EOMONTH(DATE(Resumen!$B$2,11,1),0)),15,"")</f>
        <v/>
      </c>
      <c r="Q5" s="15">
        <f>IF(16&lt;=DAY(EOMONTH(DATE(Resumen!$B$2,11,1),0)),16,"")</f>
        <v/>
      </c>
      <c r="R5" s="15">
        <f>IF(17&lt;=DAY(EOMONTH(DATE(Resumen!$B$2,11,1),0)),17,"")</f>
        <v/>
      </c>
      <c r="S5" s="15">
        <f>IF(18&lt;=DAY(EOMONTH(DATE(Resumen!$B$2,11,1),0)),18,"")</f>
        <v/>
      </c>
      <c r="T5" s="15">
        <f>IF(19&lt;=DAY(EOMONTH(DATE(Resumen!$B$2,11,1),0)),19,"")</f>
        <v/>
      </c>
      <c r="U5" s="15">
        <f>IF(20&lt;=DAY(EOMONTH(DATE(Resumen!$B$2,11,1),0)),20,"")</f>
        <v/>
      </c>
      <c r="V5" s="15">
        <f>IF(21&lt;=DAY(EOMONTH(DATE(Resumen!$B$2,11,1),0)),21,"")</f>
        <v/>
      </c>
      <c r="W5" s="15">
        <f>IF(22&lt;=DAY(EOMONTH(DATE(Resumen!$B$2,11,1),0)),22,"")</f>
        <v/>
      </c>
      <c r="X5" s="15">
        <f>IF(23&lt;=DAY(EOMONTH(DATE(Resumen!$B$2,11,1),0)),23,"")</f>
        <v/>
      </c>
      <c r="Y5" s="15">
        <f>IF(24&lt;=DAY(EOMONTH(DATE(Resumen!$B$2,11,1),0)),24,"")</f>
        <v/>
      </c>
      <c r="Z5" s="15">
        <f>IF(25&lt;=DAY(EOMONTH(DATE(Resumen!$B$2,11,1),0)),25,"")</f>
        <v/>
      </c>
      <c r="AA5" s="15">
        <f>IF(26&lt;=DAY(EOMONTH(DATE(Resumen!$B$2,11,1),0)),26,"")</f>
        <v/>
      </c>
      <c r="AB5" s="15">
        <f>IF(27&lt;=DAY(EOMONTH(DATE(Resumen!$B$2,11,1),0)),27,"")</f>
        <v/>
      </c>
      <c r="AC5" s="15">
        <f>IF(28&lt;=DAY(EOMONTH(DATE(Resumen!$B$2,11,1),0)),28,"")</f>
        <v/>
      </c>
      <c r="AD5" s="15">
        <f>IF(29&lt;=DAY(EOMONTH(DATE(Resumen!$B$2,11,1),0)),29,"")</f>
        <v/>
      </c>
      <c r="AE5" s="15">
        <f>IF(30&lt;=DAY(EOMONTH(DATE(Resumen!$B$2,11,1),0)),30,"")</f>
        <v/>
      </c>
      <c r="AF5" s="15">
        <f>IF(31&lt;=DAY(EOMONTH(DATE(Resumen!$B$2,11,1),0)),31,"")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IF(B$5="","",MID("LMXJVSD",WEEKDAY(DATE(Resumen!$B$2,11,B$5),2),1))</f>
        <v/>
      </c>
      <c r="C6" s="15">
        <f>IF(C$5="","",MID("LMXJVSD",WEEKDAY(DATE(Resumen!$B$2,11,C$5),2),1))</f>
        <v/>
      </c>
      <c r="D6" s="15">
        <f>IF(D$5="","",MID("LMXJVSD",WEEKDAY(DATE(Resumen!$B$2,11,D$5),2),1))</f>
        <v/>
      </c>
      <c r="E6" s="15">
        <f>IF(E$5="","",MID("LMXJVSD",WEEKDAY(DATE(Resumen!$B$2,11,E$5),2),1))</f>
        <v/>
      </c>
      <c r="F6" s="15">
        <f>IF(F$5="","",MID("LMXJVSD",WEEKDAY(DATE(Resumen!$B$2,11,F$5),2),1))</f>
        <v/>
      </c>
      <c r="G6" s="15">
        <f>IF(G$5="","",MID("LMXJVSD",WEEKDAY(DATE(Resumen!$B$2,11,G$5),2),1))</f>
        <v/>
      </c>
      <c r="H6" s="15">
        <f>IF(H$5="","",MID("LMXJVSD",WEEKDAY(DATE(Resumen!$B$2,11,H$5),2),1))</f>
        <v/>
      </c>
      <c r="I6" s="15">
        <f>IF(I$5="","",MID("LMXJVSD",WEEKDAY(DATE(Resumen!$B$2,11,I$5),2),1))</f>
        <v/>
      </c>
      <c r="J6" s="15">
        <f>IF(J$5="","",MID("LMXJVSD",WEEKDAY(DATE(Resumen!$B$2,11,J$5),2),1))</f>
        <v/>
      </c>
      <c r="K6" s="15">
        <f>IF(K$5="","",MID("LMXJVSD",WEEKDAY(DATE(Resumen!$B$2,11,K$5),2),1))</f>
        <v/>
      </c>
      <c r="L6" s="15">
        <f>IF(L$5="","",MID("LMXJVSD",WEEKDAY(DATE(Resumen!$B$2,11,L$5),2),1))</f>
        <v/>
      </c>
      <c r="M6" s="15">
        <f>IF(M$5="","",MID("LMXJVSD",WEEKDAY(DATE(Resumen!$B$2,11,M$5),2),1))</f>
        <v/>
      </c>
      <c r="N6" s="15">
        <f>IF(N$5="","",MID("LMXJVSD",WEEKDAY(DATE(Resumen!$B$2,11,N$5),2),1))</f>
        <v/>
      </c>
      <c r="O6" s="15">
        <f>IF(O$5="","",MID("LMXJVSD",WEEKDAY(DATE(Resumen!$B$2,11,O$5),2),1))</f>
        <v/>
      </c>
      <c r="P6" s="15">
        <f>IF(P$5="","",MID("LMXJVSD",WEEKDAY(DATE(Resumen!$B$2,11,P$5),2),1))</f>
        <v/>
      </c>
      <c r="Q6" s="15">
        <f>IF(Q$5="","",MID("LMXJVSD",WEEKDAY(DATE(Resumen!$B$2,11,Q$5),2),1))</f>
        <v/>
      </c>
      <c r="R6" s="15">
        <f>IF(R$5="","",MID("LMXJVSD",WEEKDAY(DATE(Resumen!$B$2,11,R$5),2),1))</f>
        <v/>
      </c>
      <c r="S6" s="15">
        <f>IF(S$5="","",MID("LMXJVSD",WEEKDAY(DATE(Resumen!$B$2,11,S$5),2),1))</f>
        <v/>
      </c>
      <c r="T6" s="15">
        <f>IF(T$5="","",MID("LMXJVSD",WEEKDAY(DATE(Resumen!$B$2,11,T$5),2),1))</f>
        <v/>
      </c>
      <c r="U6" s="15">
        <f>IF(U$5="","",MID("LMXJVSD",WEEKDAY(DATE(Resumen!$B$2,11,U$5),2),1))</f>
        <v/>
      </c>
      <c r="V6" s="15">
        <f>IF(V$5="","",MID("LMXJVSD",WEEKDAY(DATE(Resumen!$B$2,11,V$5),2),1))</f>
        <v/>
      </c>
      <c r="W6" s="15">
        <f>IF(W$5="","",MID("LMXJVSD",WEEKDAY(DATE(Resumen!$B$2,11,W$5),2),1))</f>
        <v/>
      </c>
      <c r="X6" s="15">
        <f>IF(X$5="","",MID("LMXJVSD",WEEKDAY(DATE(Resumen!$B$2,11,X$5),2),1))</f>
        <v/>
      </c>
      <c r="Y6" s="15">
        <f>IF(Y$5="","",MID("LMXJVSD",WEEKDAY(DATE(Resumen!$B$2,11,Y$5),2),1))</f>
        <v/>
      </c>
      <c r="Z6" s="15">
        <f>IF(Z$5="","",MID("LMXJVSD",WEEKDAY(DATE(Resumen!$B$2,11,Z$5),2),1))</f>
        <v/>
      </c>
      <c r="AA6" s="15">
        <f>IF(AA$5="","",MID("LMXJVSD",WEEKDAY(DATE(Resumen!$B$2,11,AA$5),2),1))</f>
        <v/>
      </c>
      <c r="AB6" s="15">
        <f>IF(AB$5="","",MID("LMXJVSD",WEEKDAY(DATE(Resumen!$B$2,11,AB$5),2),1))</f>
        <v/>
      </c>
      <c r="AC6" s="15">
        <f>IF(AC$5="","",MID("LMXJVSD",WEEKDAY(DATE(Resumen!$B$2,11,AC$5),2),1))</f>
        <v/>
      </c>
      <c r="AD6" s="15">
        <f>IF(AD$5="","",MID("LMXJVSD",WEEKDAY(DATE(Resumen!$B$2,11,AD$5),2),1))</f>
        <v/>
      </c>
      <c r="AE6" s="15">
        <f>IF(AE$5="","",MID("LMXJVSD",WEEKDAY(DATE(Resumen!$B$2,11,AE$5),2),1))</f>
        <v/>
      </c>
      <c r="AF6" s="15">
        <f>IF(AF$5="","",MID("LMXJVSD",WEEKDAY(DATE(Resumen!$B$2,11,AF$5),2),1))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IF(B$5="","",IF(COUNTIFS(Festivos!$A$5:$A$239,Resumen!$E$2,Festivos!$B$5:$B$239,DATE(Resumen!$B$2,11,B$5))+COUNTIF(Festivos!$E$5:$E$24,DATE(Resumen!$B$2,11,B$5))&gt;0,"F",""))</f>
        <v/>
      </c>
      <c r="C7" s="15">
        <f>IF(C$5="","",IF(COUNTIFS(Festivos!$A$5:$A$239,Resumen!$E$2,Festivos!$B$5:$B$239,DATE(Resumen!$B$2,11,C$5))+COUNTIF(Festivos!$E$5:$E$24,DATE(Resumen!$B$2,11,C$5))&gt;0,"F",""))</f>
        <v/>
      </c>
      <c r="D7" s="15">
        <f>IF(D$5="","",IF(COUNTIFS(Festivos!$A$5:$A$239,Resumen!$E$2,Festivos!$B$5:$B$239,DATE(Resumen!$B$2,11,D$5))+COUNTIF(Festivos!$E$5:$E$24,DATE(Resumen!$B$2,11,D$5))&gt;0,"F",""))</f>
        <v/>
      </c>
      <c r="E7" s="15">
        <f>IF(E$5="","",IF(COUNTIFS(Festivos!$A$5:$A$239,Resumen!$E$2,Festivos!$B$5:$B$239,DATE(Resumen!$B$2,11,E$5))+COUNTIF(Festivos!$E$5:$E$24,DATE(Resumen!$B$2,11,E$5))&gt;0,"F",""))</f>
        <v/>
      </c>
      <c r="F7" s="15">
        <f>IF(F$5="","",IF(COUNTIFS(Festivos!$A$5:$A$239,Resumen!$E$2,Festivos!$B$5:$B$239,DATE(Resumen!$B$2,11,F$5))+COUNTIF(Festivos!$E$5:$E$24,DATE(Resumen!$B$2,11,F$5))&gt;0,"F",""))</f>
        <v/>
      </c>
      <c r="G7" s="15">
        <f>IF(G$5="","",IF(COUNTIFS(Festivos!$A$5:$A$239,Resumen!$E$2,Festivos!$B$5:$B$239,DATE(Resumen!$B$2,11,G$5))+COUNTIF(Festivos!$E$5:$E$24,DATE(Resumen!$B$2,11,G$5))&gt;0,"F",""))</f>
        <v/>
      </c>
      <c r="H7" s="15">
        <f>IF(H$5="","",IF(COUNTIFS(Festivos!$A$5:$A$239,Resumen!$E$2,Festivos!$B$5:$B$239,DATE(Resumen!$B$2,11,H$5))+COUNTIF(Festivos!$E$5:$E$24,DATE(Resumen!$B$2,11,H$5))&gt;0,"F",""))</f>
        <v/>
      </c>
      <c r="I7" s="15">
        <f>IF(I$5="","",IF(COUNTIFS(Festivos!$A$5:$A$239,Resumen!$E$2,Festivos!$B$5:$B$239,DATE(Resumen!$B$2,11,I$5))+COUNTIF(Festivos!$E$5:$E$24,DATE(Resumen!$B$2,11,I$5))&gt;0,"F",""))</f>
        <v/>
      </c>
      <c r="J7" s="15">
        <f>IF(J$5="","",IF(COUNTIFS(Festivos!$A$5:$A$239,Resumen!$E$2,Festivos!$B$5:$B$239,DATE(Resumen!$B$2,11,J$5))+COUNTIF(Festivos!$E$5:$E$24,DATE(Resumen!$B$2,11,J$5))&gt;0,"F",""))</f>
        <v/>
      </c>
      <c r="K7" s="15">
        <f>IF(K$5="","",IF(COUNTIFS(Festivos!$A$5:$A$239,Resumen!$E$2,Festivos!$B$5:$B$239,DATE(Resumen!$B$2,11,K$5))+COUNTIF(Festivos!$E$5:$E$24,DATE(Resumen!$B$2,11,K$5))&gt;0,"F",""))</f>
        <v/>
      </c>
      <c r="L7" s="15">
        <f>IF(L$5="","",IF(COUNTIFS(Festivos!$A$5:$A$239,Resumen!$E$2,Festivos!$B$5:$B$239,DATE(Resumen!$B$2,11,L$5))+COUNTIF(Festivos!$E$5:$E$24,DATE(Resumen!$B$2,11,L$5))&gt;0,"F",""))</f>
        <v/>
      </c>
      <c r="M7" s="15">
        <f>IF(M$5="","",IF(COUNTIFS(Festivos!$A$5:$A$239,Resumen!$E$2,Festivos!$B$5:$B$239,DATE(Resumen!$B$2,11,M$5))+COUNTIF(Festivos!$E$5:$E$24,DATE(Resumen!$B$2,11,M$5))&gt;0,"F",""))</f>
        <v/>
      </c>
      <c r="N7" s="15">
        <f>IF(N$5="","",IF(COUNTIFS(Festivos!$A$5:$A$239,Resumen!$E$2,Festivos!$B$5:$B$239,DATE(Resumen!$B$2,11,N$5))+COUNTIF(Festivos!$E$5:$E$24,DATE(Resumen!$B$2,11,N$5))&gt;0,"F",""))</f>
        <v/>
      </c>
      <c r="O7" s="15">
        <f>IF(O$5="","",IF(COUNTIFS(Festivos!$A$5:$A$239,Resumen!$E$2,Festivos!$B$5:$B$239,DATE(Resumen!$B$2,11,O$5))+COUNTIF(Festivos!$E$5:$E$24,DATE(Resumen!$B$2,11,O$5))&gt;0,"F",""))</f>
        <v/>
      </c>
      <c r="P7" s="15">
        <f>IF(P$5="","",IF(COUNTIFS(Festivos!$A$5:$A$239,Resumen!$E$2,Festivos!$B$5:$B$239,DATE(Resumen!$B$2,11,P$5))+COUNTIF(Festivos!$E$5:$E$24,DATE(Resumen!$B$2,11,P$5))&gt;0,"F",""))</f>
        <v/>
      </c>
      <c r="Q7" s="15">
        <f>IF(Q$5="","",IF(COUNTIFS(Festivos!$A$5:$A$239,Resumen!$E$2,Festivos!$B$5:$B$239,DATE(Resumen!$B$2,11,Q$5))+COUNTIF(Festivos!$E$5:$E$24,DATE(Resumen!$B$2,11,Q$5))&gt;0,"F",""))</f>
        <v/>
      </c>
      <c r="R7" s="15">
        <f>IF(R$5="","",IF(COUNTIFS(Festivos!$A$5:$A$239,Resumen!$E$2,Festivos!$B$5:$B$239,DATE(Resumen!$B$2,11,R$5))+COUNTIF(Festivos!$E$5:$E$24,DATE(Resumen!$B$2,11,R$5))&gt;0,"F",""))</f>
        <v/>
      </c>
      <c r="S7" s="15">
        <f>IF(S$5="","",IF(COUNTIFS(Festivos!$A$5:$A$239,Resumen!$E$2,Festivos!$B$5:$B$239,DATE(Resumen!$B$2,11,S$5))+COUNTIF(Festivos!$E$5:$E$24,DATE(Resumen!$B$2,11,S$5))&gt;0,"F",""))</f>
        <v/>
      </c>
      <c r="T7" s="15">
        <f>IF(T$5="","",IF(COUNTIFS(Festivos!$A$5:$A$239,Resumen!$E$2,Festivos!$B$5:$B$239,DATE(Resumen!$B$2,11,T$5))+COUNTIF(Festivos!$E$5:$E$24,DATE(Resumen!$B$2,11,T$5))&gt;0,"F",""))</f>
        <v/>
      </c>
      <c r="U7" s="15">
        <f>IF(U$5="","",IF(COUNTIFS(Festivos!$A$5:$A$239,Resumen!$E$2,Festivos!$B$5:$B$239,DATE(Resumen!$B$2,11,U$5))+COUNTIF(Festivos!$E$5:$E$24,DATE(Resumen!$B$2,11,U$5))&gt;0,"F",""))</f>
        <v/>
      </c>
      <c r="V7" s="15">
        <f>IF(V$5="","",IF(COUNTIFS(Festivos!$A$5:$A$239,Resumen!$E$2,Festivos!$B$5:$B$239,DATE(Resumen!$B$2,11,V$5))+COUNTIF(Festivos!$E$5:$E$24,DATE(Resumen!$B$2,11,V$5))&gt;0,"F",""))</f>
        <v/>
      </c>
      <c r="W7" s="15">
        <f>IF(W$5="","",IF(COUNTIFS(Festivos!$A$5:$A$239,Resumen!$E$2,Festivos!$B$5:$B$239,DATE(Resumen!$B$2,11,W$5))+COUNTIF(Festivos!$E$5:$E$24,DATE(Resumen!$B$2,11,W$5))&gt;0,"F",""))</f>
        <v/>
      </c>
      <c r="X7" s="15">
        <f>IF(X$5="","",IF(COUNTIFS(Festivos!$A$5:$A$239,Resumen!$E$2,Festivos!$B$5:$B$239,DATE(Resumen!$B$2,11,X$5))+COUNTIF(Festivos!$E$5:$E$24,DATE(Resumen!$B$2,11,X$5))&gt;0,"F",""))</f>
        <v/>
      </c>
      <c r="Y7" s="15">
        <f>IF(Y$5="","",IF(COUNTIFS(Festivos!$A$5:$A$239,Resumen!$E$2,Festivos!$B$5:$B$239,DATE(Resumen!$B$2,11,Y$5))+COUNTIF(Festivos!$E$5:$E$24,DATE(Resumen!$B$2,11,Y$5))&gt;0,"F",""))</f>
        <v/>
      </c>
      <c r="Z7" s="15">
        <f>IF(Z$5="","",IF(COUNTIFS(Festivos!$A$5:$A$239,Resumen!$E$2,Festivos!$B$5:$B$239,DATE(Resumen!$B$2,11,Z$5))+COUNTIF(Festivos!$E$5:$E$24,DATE(Resumen!$B$2,11,Z$5))&gt;0,"F",""))</f>
        <v/>
      </c>
      <c r="AA7" s="15">
        <f>IF(AA$5="","",IF(COUNTIFS(Festivos!$A$5:$A$239,Resumen!$E$2,Festivos!$B$5:$B$239,DATE(Resumen!$B$2,11,AA$5))+COUNTIF(Festivos!$E$5:$E$24,DATE(Resumen!$B$2,11,AA$5))&gt;0,"F",""))</f>
        <v/>
      </c>
      <c r="AB7" s="15">
        <f>IF(AB$5="","",IF(COUNTIFS(Festivos!$A$5:$A$239,Resumen!$E$2,Festivos!$B$5:$B$239,DATE(Resumen!$B$2,11,AB$5))+COUNTIF(Festivos!$E$5:$E$24,DATE(Resumen!$B$2,11,AB$5))&gt;0,"F",""))</f>
        <v/>
      </c>
      <c r="AC7" s="15">
        <f>IF(AC$5="","",IF(COUNTIFS(Festivos!$A$5:$A$239,Resumen!$E$2,Festivos!$B$5:$B$239,DATE(Resumen!$B$2,11,AC$5))+COUNTIF(Festivos!$E$5:$E$24,DATE(Resumen!$B$2,11,AC$5))&gt;0,"F",""))</f>
        <v/>
      </c>
      <c r="AD7" s="15">
        <f>IF(AD$5="","",IF(COUNTIFS(Festivos!$A$5:$A$239,Resumen!$E$2,Festivos!$B$5:$B$239,DATE(Resumen!$B$2,11,AD$5))+COUNTIF(Festivos!$E$5:$E$24,DATE(Resumen!$B$2,11,AD$5))&gt;0,"F",""))</f>
        <v/>
      </c>
      <c r="AE7" s="15">
        <f>IF(AE$5="","",IF(COUNTIFS(Festivos!$A$5:$A$239,Resumen!$E$2,Festivos!$B$5:$B$239,DATE(Resumen!$B$2,11,AE$5))+COUNTIF(Festivos!$E$5:$E$24,DATE(Resumen!$B$2,11,AE$5))&gt;0,"F",""))</f>
        <v/>
      </c>
      <c r="AF7" s="15">
        <f>IF(AF$5="","",IF(COUNTIFS(Festivos!$A$5:$A$239,Resumen!$E$2,Festivos!$B$5:$B$239,DATE(Resumen!$B$2,11,AF$5))+COUNTIF(Festivos!$E$5:$E$24,DATE(Resumen!$B$2,11,AF$5))&gt;0,"F",""))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H6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</cols>
  <sheetData>
    <row r="1">
      <c r="A1" s="1">
        <f>"Diciembre "&amp;Resumen!$B$2</f>
        <v/>
      </c>
      <c r="N1" s="2" t="inlineStr">
        <is>
          <t>Las vacaciones de todos, sin cruzar correos: pruébalo gratis en satcontrol.es</t>
        </is>
      </c>
    </row>
    <row r="2">
      <c r="A2" s="3" t="inlineStr">
        <is>
          <t xml:space="preserve">Festivos de: </t>
        </is>
      </c>
      <c r="B2">
        <f>Resumen!$E$2</f>
        <v/>
      </c>
    </row>
    <row r="3">
      <c r="A3" s="7" t="inlineStr">
        <is>
          <t>Marca en cada día: V vacaciones · M medio día de vacaciones · P permiso retribuido · B baja médica · A otra ausencia. Los nombres salen de «Resumen».</t>
        </is>
      </c>
    </row>
    <row r="5">
      <c r="A5" s="14" t="inlineStr">
        <is>
          <t>Empleado</t>
        </is>
      </c>
      <c r="B5" s="15">
        <f>IF(1&lt;=DAY(EOMONTH(DATE(Resumen!$B$2,12,1),0)),1,"")</f>
        <v/>
      </c>
      <c r="C5" s="15">
        <f>IF(2&lt;=DAY(EOMONTH(DATE(Resumen!$B$2,12,1),0)),2,"")</f>
        <v/>
      </c>
      <c r="D5" s="15">
        <f>IF(3&lt;=DAY(EOMONTH(DATE(Resumen!$B$2,12,1),0)),3,"")</f>
        <v/>
      </c>
      <c r="E5" s="15">
        <f>IF(4&lt;=DAY(EOMONTH(DATE(Resumen!$B$2,12,1),0)),4,"")</f>
        <v/>
      </c>
      <c r="F5" s="15">
        <f>IF(5&lt;=DAY(EOMONTH(DATE(Resumen!$B$2,12,1),0)),5,"")</f>
        <v/>
      </c>
      <c r="G5" s="15">
        <f>IF(6&lt;=DAY(EOMONTH(DATE(Resumen!$B$2,12,1),0)),6,"")</f>
        <v/>
      </c>
      <c r="H5" s="15">
        <f>IF(7&lt;=DAY(EOMONTH(DATE(Resumen!$B$2,12,1),0)),7,"")</f>
        <v/>
      </c>
      <c r="I5" s="15">
        <f>IF(8&lt;=DAY(EOMONTH(DATE(Resumen!$B$2,12,1),0)),8,"")</f>
        <v/>
      </c>
      <c r="J5" s="15">
        <f>IF(9&lt;=DAY(EOMONTH(DATE(Resumen!$B$2,12,1),0)),9,"")</f>
        <v/>
      </c>
      <c r="K5" s="15">
        <f>IF(10&lt;=DAY(EOMONTH(DATE(Resumen!$B$2,12,1),0)),10,"")</f>
        <v/>
      </c>
      <c r="L5" s="15">
        <f>IF(11&lt;=DAY(EOMONTH(DATE(Resumen!$B$2,12,1),0)),11,"")</f>
        <v/>
      </c>
      <c r="M5" s="15">
        <f>IF(12&lt;=DAY(EOMONTH(DATE(Resumen!$B$2,12,1),0)),12,"")</f>
        <v/>
      </c>
      <c r="N5" s="15">
        <f>IF(13&lt;=DAY(EOMONTH(DATE(Resumen!$B$2,12,1),0)),13,"")</f>
        <v/>
      </c>
      <c r="O5" s="15">
        <f>IF(14&lt;=DAY(EOMONTH(DATE(Resumen!$B$2,12,1),0)),14,"")</f>
        <v/>
      </c>
      <c r="P5" s="15">
        <f>IF(15&lt;=DAY(EOMONTH(DATE(Resumen!$B$2,12,1),0)),15,"")</f>
        <v/>
      </c>
      <c r="Q5" s="15">
        <f>IF(16&lt;=DAY(EOMONTH(DATE(Resumen!$B$2,12,1),0)),16,"")</f>
        <v/>
      </c>
      <c r="R5" s="15">
        <f>IF(17&lt;=DAY(EOMONTH(DATE(Resumen!$B$2,12,1),0)),17,"")</f>
        <v/>
      </c>
      <c r="S5" s="15">
        <f>IF(18&lt;=DAY(EOMONTH(DATE(Resumen!$B$2,12,1),0)),18,"")</f>
        <v/>
      </c>
      <c r="T5" s="15">
        <f>IF(19&lt;=DAY(EOMONTH(DATE(Resumen!$B$2,12,1),0)),19,"")</f>
        <v/>
      </c>
      <c r="U5" s="15">
        <f>IF(20&lt;=DAY(EOMONTH(DATE(Resumen!$B$2,12,1),0)),20,"")</f>
        <v/>
      </c>
      <c r="V5" s="15">
        <f>IF(21&lt;=DAY(EOMONTH(DATE(Resumen!$B$2,12,1),0)),21,"")</f>
        <v/>
      </c>
      <c r="W5" s="15">
        <f>IF(22&lt;=DAY(EOMONTH(DATE(Resumen!$B$2,12,1),0)),22,"")</f>
        <v/>
      </c>
      <c r="X5" s="15">
        <f>IF(23&lt;=DAY(EOMONTH(DATE(Resumen!$B$2,12,1),0)),23,"")</f>
        <v/>
      </c>
      <c r="Y5" s="15">
        <f>IF(24&lt;=DAY(EOMONTH(DATE(Resumen!$B$2,12,1),0)),24,"")</f>
        <v/>
      </c>
      <c r="Z5" s="15">
        <f>IF(25&lt;=DAY(EOMONTH(DATE(Resumen!$B$2,12,1),0)),25,"")</f>
        <v/>
      </c>
      <c r="AA5" s="15">
        <f>IF(26&lt;=DAY(EOMONTH(DATE(Resumen!$B$2,12,1),0)),26,"")</f>
        <v/>
      </c>
      <c r="AB5" s="15">
        <f>IF(27&lt;=DAY(EOMONTH(DATE(Resumen!$B$2,12,1),0)),27,"")</f>
        <v/>
      </c>
      <c r="AC5" s="15">
        <f>IF(28&lt;=DAY(EOMONTH(DATE(Resumen!$B$2,12,1),0)),28,"")</f>
        <v/>
      </c>
      <c r="AD5" s="15">
        <f>IF(29&lt;=DAY(EOMONTH(DATE(Resumen!$B$2,12,1),0)),29,"")</f>
        <v/>
      </c>
      <c r="AE5" s="15">
        <f>IF(30&lt;=DAY(EOMONTH(DATE(Resumen!$B$2,12,1),0)),30,"")</f>
        <v/>
      </c>
      <c r="AF5" s="15">
        <f>IF(31&lt;=DAY(EOMONTH(DATE(Resumen!$B$2,12,1),0)),31,"")</f>
        <v/>
      </c>
      <c r="AG5" s="16" t="inlineStr">
        <is>
          <t>Vacaciones</t>
        </is>
      </c>
      <c r="AH5" s="16" t="inlineStr">
        <is>
          <t>Ausencias</t>
        </is>
      </c>
    </row>
    <row r="6">
      <c r="A6" s="14" t="inlineStr"/>
      <c r="B6" s="15">
        <f>IF(B$5="","",MID("LMXJVSD",WEEKDAY(DATE(Resumen!$B$2,12,B$5),2),1))</f>
        <v/>
      </c>
      <c r="C6" s="15">
        <f>IF(C$5="","",MID("LMXJVSD",WEEKDAY(DATE(Resumen!$B$2,12,C$5),2),1))</f>
        <v/>
      </c>
      <c r="D6" s="15">
        <f>IF(D$5="","",MID("LMXJVSD",WEEKDAY(DATE(Resumen!$B$2,12,D$5),2),1))</f>
        <v/>
      </c>
      <c r="E6" s="15">
        <f>IF(E$5="","",MID("LMXJVSD",WEEKDAY(DATE(Resumen!$B$2,12,E$5),2),1))</f>
        <v/>
      </c>
      <c r="F6" s="15">
        <f>IF(F$5="","",MID("LMXJVSD",WEEKDAY(DATE(Resumen!$B$2,12,F$5),2),1))</f>
        <v/>
      </c>
      <c r="G6" s="15">
        <f>IF(G$5="","",MID("LMXJVSD",WEEKDAY(DATE(Resumen!$B$2,12,G$5),2),1))</f>
        <v/>
      </c>
      <c r="H6" s="15">
        <f>IF(H$5="","",MID("LMXJVSD",WEEKDAY(DATE(Resumen!$B$2,12,H$5),2),1))</f>
        <v/>
      </c>
      <c r="I6" s="15">
        <f>IF(I$5="","",MID("LMXJVSD",WEEKDAY(DATE(Resumen!$B$2,12,I$5),2),1))</f>
        <v/>
      </c>
      <c r="J6" s="15">
        <f>IF(J$5="","",MID("LMXJVSD",WEEKDAY(DATE(Resumen!$B$2,12,J$5),2),1))</f>
        <v/>
      </c>
      <c r="K6" s="15">
        <f>IF(K$5="","",MID("LMXJVSD",WEEKDAY(DATE(Resumen!$B$2,12,K$5),2),1))</f>
        <v/>
      </c>
      <c r="L6" s="15">
        <f>IF(L$5="","",MID("LMXJVSD",WEEKDAY(DATE(Resumen!$B$2,12,L$5),2),1))</f>
        <v/>
      </c>
      <c r="M6" s="15">
        <f>IF(M$5="","",MID("LMXJVSD",WEEKDAY(DATE(Resumen!$B$2,12,M$5),2),1))</f>
        <v/>
      </c>
      <c r="N6" s="15">
        <f>IF(N$5="","",MID("LMXJVSD",WEEKDAY(DATE(Resumen!$B$2,12,N$5),2),1))</f>
        <v/>
      </c>
      <c r="O6" s="15">
        <f>IF(O$5="","",MID("LMXJVSD",WEEKDAY(DATE(Resumen!$B$2,12,O$5),2),1))</f>
        <v/>
      </c>
      <c r="P6" s="15">
        <f>IF(P$5="","",MID("LMXJVSD",WEEKDAY(DATE(Resumen!$B$2,12,P$5),2),1))</f>
        <v/>
      </c>
      <c r="Q6" s="15">
        <f>IF(Q$5="","",MID("LMXJVSD",WEEKDAY(DATE(Resumen!$B$2,12,Q$5),2),1))</f>
        <v/>
      </c>
      <c r="R6" s="15">
        <f>IF(R$5="","",MID("LMXJVSD",WEEKDAY(DATE(Resumen!$B$2,12,R$5),2),1))</f>
        <v/>
      </c>
      <c r="S6" s="15">
        <f>IF(S$5="","",MID("LMXJVSD",WEEKDAY(DATE(Resumen!$B$2,12,S$5),2),1))</f>
        <v/>
      </c>
      <c r="T6" s="15">
        <f>IF(T$5="","",MID("LMXJVSD",WEEKDAY(DATE(Resumen!$B$2,12,T$5),2),1))</f>
        <v/>
      </c>
      <c r="U6" s="15">
        <f>IF(U$5="","",MID("LMXJVSD",WEEKDAY(DATE(Resumen!$B$2,12,U$5),2),1))</f>
        <v/>
      </c>
      <c r="V6" s="15">
        <f>IF(V$5="","",MID("LMXJVSD",WEEKDAY(DATE(Resumen!$B$2,12,V$5),2),1))</f>
        <v/>
      </c>
      <c r="W6" s="15">
        <f>IF(W$5="","",MID("LMXJVSD",WEEKDAY(DATE(Resumen!$B$2,12,W$5),2),1))</f>
        <v/>
      </c>
      <c r="X6" s="15">
        <f>IF(X$5="","",MID("LMXJVSD",WEEKDAY(DATE(Resumen!$B$2,12,X$5),2),1))</f>
        <v/>
      </c>
      <c r="Y6" s="15">
        <f>IF(Y$5="","",MID("LMXJVSD",WEEKDAY(DATE(Resumen!$B$2,12,Y$5),2),1))</f>
        <v/>
      </c>
      <c r="Z6" s="15">
        <f>IF(Z$5="","",MID("LMXJVSD",WEEKDAY(DATE(Resumen!$B$2,12,Z$5),2),1))</f>
        <v/>
      </c>
      <c r="AA6" s="15">
        <f>IF(AA$5="","",MID("LMXJVSD",WEEKDAY(DATE(Resumen!$B$2,12,AA$5),2),1))</f>
        <v/>
      </c>
      <c r="AB6" s="15">
        <f>IF(AB$5="","",MID("LMXJVSD",WEEKDAY(DATE(Resumen!$B$2,12,AB$5),2),1))</f>
        <v/>
      </c>
      <c r="AC6" s="15">
        <f>IF(AC$5="","",MID("LMXJVSD",WEEKDAY(DATE(Resumen!$B$2,12,AC$5),2),1))</f>
        <v/>
      </c>
      <c r="AD6" s="15">
        <f>IF(AD$5="","",MID("LMXJVSD",WEEKDAY(DATE(Resumen!$B$2,12,AD$5),2),1))</f>
        <v/>
      </c>
      <c r="AE6" s="15">
        <f>IF(AE$5="","",MID("LMXJVSD",WEEKDAY(DATE(Resumen!$B$2,12,AE$5),2),1))</f>
        <v/>
      </c>
      <c r="AF6" s="15">
        <f>IF(AF$5="","",MID("LMXJVSD",WEEKDAY(DATE(Resumen!$B$2,12,AF$5),2),1))</f>
        <v/>
      </c>
      <c r="AG6" s="17" t="n"/>
      <c r="AH6" s="17" t="n"/>
    </row>
    <row r="7">
      <c r="A7" s="14" t="inlineStr">
        <is>
          <t>Festivo</t>
        </is>
      </c>
      <c r="B7" s="15">
        <f>IF(B$5="","",IF(COUNTIFS(Festivos!$A$5:$A$239,Resumen!$E$2,Festivos!$B$5:$B$239,DATE(Resumen!$B$2,12,B$5))+COUNTIF(Festivos!$E$5:$E$24,DATE(Resumen!$B$2,12,B$5))&gt;0,"F",""))</f>
        <v/>
      </c>
      <c r="C7" s="15">
        <f>IF(C$5="","",IF(COUNTIFS(Festivos!$A$5:$A$239,Resumen!$E$2,Festivos!$B$5:$B$239,DATE(Resumen!$B$2,12,C$5))+COUNTIF(Festivos!$E$5:$E$24,DATE(Resumen!$B$2,12,C$5))&gt;0,"F",""))</f>
        <v/>
      </c>
      <c r="D7" s="15">
        <f>IF(D$5="","",IF(COUNTIFS(Festivos!$A$5:$A$239,Resumen!$E$2,Festivos!$B$5:$B$239,DATE(Resumen!$B$2,12,D$5))+COUNTIF(Festivos!$E$5:$E$24,DATE(Resumen!$B$2,12,D$5))&gt;0,"F",""))</f>
        <v/>
      </c>
      <c r="E7" s="15">
        <f>IF(E$5="","",IF(COUNTIFS(Festivos!$A$5:$A$239,Resumen!$E$2,Festivos!$B$5:$B$239,DATE(Resumen!$B$2,12,E$5))+COUNTIF(Festivos!$E$5:$E$24,DATE(Resumen!$B$2,12,E$5))&gt;0,"F",""))</f>
        <v/>
      </c>
      <c r="F7" s="15">
        <f>IF(F$5="","",IF(COUNTIFS(Festivos!$A$5:$A$239,Resumen!$E$2,Festivos!$B$5:$B$239,DATE(Resumen!$B$2,12,F$5))+COUNTIF(Festivos!$E$5:$E$24,DATE(Resumen!$B$2,12,F$5))&gt;0,"F",""))</f>
        <v/>
      </c>
      <c r="G7" s="15">
        <f>IF(G$5="","",IF(COUNTIFS(Festivos!$A$5:$A$239,Resumen!$E$2,Festivos!$B$5:$B$239,DATE(Resumen!$B$2,12,G$5))+COUNTIF(Festivos!$E$5:$E$24,DATE(Resumen!$B$2,12,G$5))&gt;0,"F",""))</f>
        <v/>
      </c>
      <c r="H7" s="15">
        <f>IF(H$5="","",IF(COUNTIFS(Festivos!$A$5:$A$239,Resumen!$E$2,Festivos!$B$5:$B$239,DATE(Resumen!$B$2,12,H$5))+COUNTIF(Festivos!$E$5:$E$24,DATE(Resumen!$B$2,12,H$5))&gt;0,"F",""))</f>
        <v/>
      </c>
      <c r="I7" s="15">
        <f>IF(I$5="","",IF(COUNTIFS(Festivos!$A$5:$A$239,Resumen!$E$2,Festivos!$B$5:$B$239,DATE(Resumen!$B$2,12,I$5))+COUNTIF(Festivos!$E$5:$E$24,DATE(Resumen!$B$2,12,I$5))&gt;0,"F",""))</f>
        <v/>
      </c>
      <c r="J7" s="15">
        <f>IF(J$5="","",IF(COUNTIFS(Festivos!$A$5:$A$239,Resumen!$E$2,Festivos!$B$5:$B$239,DATE(Resumen!$B$2,12,J$5))+COUNTIF(Festivos!$E$5:$E$24,DATE(Resumen!$B$2,12,J$5))&gt;0,"F",""))</f>
        <v/>
      </c>
      <c r="K7" s="15">
        <f>IF(K$5="","",IF(COUNTIFS(Festivos!$A$5:$A$239,Resumen!$E$2,Festivos!$B$5:$B$239,DATE(Resumen!$B$2,12,K$5))+COUNTIF(Festivos!$E$5:$E$24,DATE(Resumen!$B$2,12,K$5))&gt;0,"F",""))</f>
        <v/>
      </c>
      <c r="L7" s="15">
        <f>IF(L$5="","",IF(COUNTIFS(Festivos!$A$5:$A$239,Resumen!$E$2,Festivos!$B$5:$B$239,DATE(Resumen!$B$2,12,L$5))+COUNTIF(Festivos!$E$5:$E$24,DATE(Resumen!$B$2,12,L$5))&gt;0,"F",""))</f>
        <v/>
      </c>
      <c r="M7" s="15">
        <f>IF(M$5="","",IF(COUNTIFS(Festivos!$A$5:$A$239,Resumen!$E$2,Festivos!$B$5:$B$239,DATE(Resumen!$B$2,12,M$5))+COUNTIF(Festivos!$E$5:$E$24,DATE(Resumen!$B$2,12,M$5))&gt;0,"F",""))</f>
        <v/>
      </c>
      <c r="N7" s="15">
        <f>IF(N$5="","",IF(COUNTIFS(Festivos!$A$5:$A$239,Resumen!$E$2,Festivos!$B$5:$B$239,DATE(Resumen!$B$2,12,N$5))+COUNTIF(Festivos!$E$5:$E$24,DATE(Resumen!$B$2,12,N$5))&gt;0,"F",""))</f>
        <v/>
      </c>
      <c r="O7" s="15">
        <f>IF(O$5="","",IF(COUNTIFS(Festivos!$A$5:$A$239,Resumen!$E$2,Festivos!$B$5:$B$239,DATE(Resumen!$B$2,12,O$5))+COUNTIF(Festivos!$E$5:$E$24,DATE(Resumen!$B$2,12,O$5))&gt;0,"F",""))</f>
        <v/>
      </c>
      <c r="P7" s="15">
        <f>IF(P$5="","",IF(COUNTIFS(Festivos!$A$5:$A$239,Resumen!$E$2,Festivos!$B$5:$B$239,DATE(Resumen!$B$2,12,P$5))+COUNTIF(Festivos!$E$5:$E$24,DATE(Resumen!$B$2,12,P$5))&gt;0,"F",""))</f>
        <v/>
      </c>
      <c r="Q7" s="15">
        <f>IF(Q$5="","",IF(COUNTIFS(Festivos!$A$5:$A$239,Resumen!$E$2,Festivos!$B$5:$B$239,DATE(Resumen!$B$2,12,Q$5))+COUNTIF(Festivos!$E$5:$E$24,DATE(Resumen!$B$2,12,Q$5))&gt;0,"F",""))</f>
        <v/>
      </c>
      <c r="R7" s="15">
        <f>IF(R$5="","",IF(COUNTIFS(Festivos!$A$5:$A$239,Resumen!$E$2,Festivos!$B$5:$B$239,DATE(Resumen!$B$2,12,R$5))+COUNTIF(Festivos!$E$5:$E$24,DATE(Resumen!$B$2,12,R$5))&gt;0,"F",""))</f>
        <v/>
      </c>
      <c r="S7" s="15">
        <f>IF(S$5="","",IF(COUNTIFS(Festivos!$A$5:$A$239,Resumen!$E$2,Festivos!$B$5:$B$239,DATE(Resumen!$B$2,12,S$5))+COUNTIF(Festivos!$E$5:$E$24,DATE(Resumen!$B$2,12,S$5))&gt;0,"F",""))</f>
        <v/>
      </c>
      <c r="T7" s="15">
        <f>IF(T$5="","",IF(COUNTIFS(Festivos!$A$5:$A$239,Resumen!$E$2,Festivos!$B$5:$B$239,DATE(Resumen!$B$2,12,T$5))+COUNTIF(Festivos!$E$5:$E$24,DATE(Resumen!$B$2,12,T$5))&gt;0,"F",""))</f>
        <v/>
      </c>
      <c r="U7" s="15">
        <f>IF(U$5="","",IF(COUNTIFS(Festivos!$A$5:$A$239,Resumen!$E$2,Festivos!$B$5:$B$239,DATE(Resumen!$B$2,12,U$5))+COUNTIF(Festivos!$E$5:$E$24,DATE(Resumen!$B$2,12,U$5))&gt;0,"F",""))</f>
        <v/>
      </c>
      <c r="V7" s="15">
        <f>IF(V$5="","",IF(COUNTIFS(Festivos!$A$5:$A$239,Resumen!$E$2,Festivos!$B$5:$B$239,DATE(Resumen!$B$2,12,V$5))+COUNTIF(Festivos!$E$5:$E$24,DATE(Resumen!$B$2,12,V$5))&gt;0,"F",""))</f>
        <v/>
      </c>
      <c r="W7" s="15">
        <f>IF(W$5="","",IF(COUNTIFS(Festivos!$A$5:$A$239,Resumen!$E$2,Festivos!$B$5:$B$239,DATE(Resumen!$B$2,12,W$5))+COUNTIF(Festivos!$E$5:$E$24,DATE(Resumen!$B$2,12,W$5))&gt;0,"F",""))</f>
        <v/>
      </c>
      <c r="X7" s="15">
        <f>IF(X$5="","",IF(COUNTIFS(Festivos!$A$5:$A$239,Resumen!$E$2,Festivos!$B$5:$B$239,DATE(Resumen!$B$2,12,X$5))+COUNTIF(Festivos!$E$5:$E$24,DATE(Resumen!$B$2,12,X$5))&gt;0,"F",""))</f>
        <v/>
      </c>
      <c r="Y7" s="15">
        <f>IF(Y$5="","",IF(COUNTIFS(Festivos!$A$5:$A$239,Resumen!$E$2,Festivos!$B$5:$B$239,DATE(Resumen!$B$2,12,Y$5))+COUNTIF(Festivos!$E$5:$E$24,DATE(Resumen!$B$2,12,Y$5))&gt;0,"F",""))</f>
        <v/>
      </c>
      <c r="Z7" s="15">
        <f>IF(Z$5="","",IF(COUNTIFS(Festivos!$A$5:$A$239,Resumen!$E$2,Festivos!$B$5:$B$239,DATE(Resumen!$B$2,12,Z$5))+COUNTIF(Festivos!$E$5:$E$24,DATE(Resumen!$B$2,12,Z$5))&gt;0,"F",""))</f>
        <v/>
      </c>
      <c r="AA7" s="15">
        <f>IF(AA$5="","",IF(COUNTIFS(Festivos!$A$5:$A$239,Resumen!$E$2,Festivos!$B$5:$B$239,DATE(Resumen!$B$2,12,AA$5))+COUNTIF(Festivos!$E$5:$E$24,DATE(Resumen!$B$2,12,AA$5))&gt;0,"F",""))</f>
        <v/>
      </c>
      <c r="AB7" s="15">
        <f>IF(AB$5="","",IF(COUNTIFS(Festivos!$A$5:$A$239,Resumen!$E$2,Festivos!$B$5:$B$239,DATE(Resumen!$B$2,12,AB$5))+COUNTIF(Festivos!$E$5:$E$24,DATE(Resumen!$B$2,12,AB$5))&gt;0,"F",""))</f>
        <v/>
      </c>
      <c r="AC7" s="15">
        <f>IF(AC$5="","",IF(COUNTIFS(Festivos!$A$5:$A$239,Resumen!$E$2,Festivos!$B$5:$B$239,DATE(Resumen!$B$2,12,AC$5))+COUNTIF(Festivos!$E$5:$E$24,DATE(Resumen!$B$2,12,AC$5))&gt;0,"F",""))</f>
        <v/>
      </c>
      <c r="AD7" s="15">
        <f>IF(AD$5="","",IF(COUNTIFS(Festivos!$A$5:$A$239,Resumen!$E$2,Festivos!$B$5:$B$239,DATE(Resumen!$B$2,12,AD$5))+COUNTIF(Festivos!$E$5:$E$24,DATE(Resumen!$B$2,12,AD$5))&gt;0,"F",""))</f>
        <v/>
      </c>
      <c r="AE7" s="15">
        <f>IF(AE$5="","",IF(COUNTIFS(Festivos!$A$5:$A$239,Resumen!$E$2,Festivos!$B$5:$B$239,DATE(Resumen!$B$2,12,AE$5))+COUNTIF(Festivos!$E$5:$E$24,DATE(Resumen!$B$2,12,AE$5))&gt;0,"F",""))</f>
        <v/>
      </c>
      <c r="AF7" s="15">
        <f>IF(AF$5="","",IF(COUNTIFS(Festivos!$A$5:$A$239,Resumen!$E$2,Festivos!$B$5:$B$239,DATE(Resumen!$B$2,12,AF$5))+COUNTIF(Festivos!$E$5:$E$24,DATE(Resumen!$B$2,12,AF$5))&gt;0,"F",""))</f>
        <v/>
      </c>
      <c r="AG7" s="17" t="n"/>
      <c r="AH7" s="17" t="n"/>
    </row>
    <row r="9">
      <c r="A9" s="10">
        <f>IF(Resumen!$A6="","",Resumen!$A6)</f>
        <v/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>
        <f>COUNTIF(B9:AF9,"V")+COUNTIF(B9:AF9,"M")*0.5</f>
        <v/>
      </c>
      <c r="AH9" s="18">
        <f>COUNTIF(B9:AF9,"P")+COUNTIF(B9:AF9,"B")+COUNTIF(B9:AF9,"A")</f>
        <v/>
      </c>
    </row>
    <row r="10">
      <c r="A10" s="10">
        <f>IF(Resumen!$A7="","",Resumen!$A7)</f>
        <v/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>
        <f>COUNTIF(B10:AF10,"V")+COUNTIF(B10:AF10,"M")*0.5</f>
        <v/>
      </c>
      <c r="AH10" s="18">
        <f>COUNTIF(B10:AF10,"P")+COUNTIF(B10:AF10,"B")+COUNTIF(B10:AF10,"A")</f>
        <v/>
      </c>
    </row>
    <row r="11">
      <c r="A11" s="10">
        <f>IF(Resumen!$A8="","",Resumen!$A8)</f>
        <v/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>
        <f>COUNTIF(B11:AF11,"V")+COUNTIF(B11:AF11,"M")*0.5</f>
        <v/>
      </c>
      <c r="AH11" s="18">
        <f>COUNTIF(B11:AF11,"P")+COUNTIF(B11:AF11,"B")+COUNTIF(B11:AF11,"A")</f>
        <v/>
      </c>
    </row>
    <row r="12">
      <c r="A12" s="10">
        <f>IF(Resumen!$A9="","",Resumen!$A9)</f>
        <v/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>
        <f>COUNTIF(B12:AF12,"V")+COUNTIF(B12:AF12,"M")*0.5</f>
        <v/>
      </c>
      <c r="AH12" s="18">
        <f>COUNTIF(B12:AF12,"P")+COUNTIF(B12:AF12,"B")+COUNTIF(B12:AF12,"A")</f>
        <v/>
      </c>
    </row>
    <row r="13">
      <c r="A13" s="10">
        <f>IF(Resumen!$A10="","",Resumen!$A10)</f>
        <v/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>
        <f>COUNTIF(B13:AF13,"V")+COUNTIF(B13:AF13,"M")*0.5</f>
        <v/>
      </c>
      <c r="AH13" s="18">
        <f>COUNTIF(B13:AF13,"P")+COUNTIF(B13:AF13,"B")+COUNTIF(B13:AF13,"A")</f>
        <v/>
      </c>
    </row>
    <row r="14">
      <c r="A14" s="10">
        <f>IF(Resumen!$A11="","",Resumen!$A11)</f>
        <v/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>
        <f>COUNTIF(B14:AF14,"V")+COUNTIF(B14:AF14,"M")*0.5</f>
        <v/>
      </c>
      <c r="AH14" s="18">
        <f>COUNTIF(B14:AF14,"P")+COUNTIF(B14:AF14,"B")+COUNTIF(B14:AF14,"A")</f>
        <v/>
      </c>
    </row>
    <row r="15">
      <c r="A15" s="10">
        <f>IF(Resumen!$A12="","",Resumen!$A12)</f>
        <v/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>
        <f>COUNTIF(B15:AF15,"V")+COUNTIF(B15:AF15,"M")*0.5</f>
        <v/>
      </c>
      <c r="AH15" s="18">
        <f>COUNTIF(B15:AF15,"P")+COUNTIF(B15:AF15,"B")+COUNTIF(B15:AF15,"A")</f>
        <v/>
      </c>
    </row>
    <row r="16">
      <c r="A16" s="10">
        <f>IF(Resumen!$A13="","",Resumen!$A13)</f>
        <v/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>
        <f>COUNTIF(B16:AF16,"V")+COUNTIF(B16:AF16,"M")*0.5</f>
        <v/>
      </c>
      <c r="AH16" s="18">
        <f>COUNTIF(B16:AF16,"P")+COUNTIF(B16:AF16,"B")+COUNTIF(B16:AF16,"A")</f>
        <v/>
      </c>
    </row>
    <row r="17">
      <c r="A17" s="10">
        <f>IF(Resumen!$A14="","",Resumen!$A14)</f>
        <v/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>
        <f>COUNTIF(B17:AF17,"V")+COUNTIF(B17:AF17,"M")*0.5</f>
        <v/>
      </c>
      <c r="AH17" s="18">
        <f>COUNTIF(B17:AF17,"P")+COUNTIF(B17:AF17,"B")+COUNTIF(B17:AF17,"A")</f>
        <v/>
      </c>
    </row>
    <row r="18">
      <c r="A18" s="10">
        <f>IF(Resumen!$A15="","",Resumen!$A15)</f>
        <v/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>
        <f>COUNTIF(B18:AF18,"V")+COUNTIF(B18:AF18,"M")*0.5</f>
        <v/>
      </c>
      <c r="AH18" s="18">
        <f>COUNTIF(B18:AF18,"P")+COUNTIF(B18:AF18,"B")+COUNTIF(B18:AF18,"A")</f>
        <v/>
      </c>
    </row>
    <row r="19">
      <c r="A19" s="10">
        <f>IF(Resumen!$A16="","",Resumen!$A16)</f>
        <v/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>
        <f>COUNTIF(B19:AF19,"V")+COUNTIF(B19:AF19,"M")*0.5</f>
        <v/>
      </c>
      <c r="AH19" s="18">
        <f>COUNTIF(B19:AF19,"P")+COUNTIF(B19:AF19,"B")+COUNTIF(B19:AF19,"A")</f>
        <v/>
      </c>
    </row>
    <row r="20">
      <c r="A20" s="10">
        <f>IF(Resumen!$A17="","",Resumen!$A17)</f>
        <v/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>
        <f>COUNTIF(B20:AF20,"V")+COUNTIF(B20:AF20,"M")*0.5</f>
        <v/>
      </c>
      <c r="AH20" s="18">
        <f>COUNTIF(B20:AF20,"P")+COUNTIF(B20:AF20,"B")+COUNTIF(B20:AF20,"A")</f>
        <v/>
      </c>
    </row>
    <row r="21">
      <c r="A21" s="10">
        <f>IF(Resumen!$A18="","",Resumen!$A18)</f>
        <v/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>
        <f>COUNTIF(B21:AF21,"V")+COUNTIF(B21:AF21,"M")*0.5</f>
        <v/>
      </c>
      <c r="AH21" s="18">
        <f>COUNTIF(B21:AF21,"P")+COUNTIF(B21:AF21,"B")+COUNTIF(B21:AF21,"A")</f>
        <v/>
      </c>
    </row>
    <row r="22">
      <c r="A22" s="10">
        <f>IF(Resumen!$A19="","",Resumen!$A19)</f>
        <v/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>
        <f>COUNTIF(B22:AF22,"V")+COUNTIF(B22:AF22,"M")*0.5</f>
        <v/>
      </c>
      <c r="AH22" s="18">
        <f>COUNTIF(B22:AF22,"P")+COUNTIF(B22:AF22,"B")+COUNTIF(B22:AF22,"A")</f>
        <v/>
      </c>
    </row>
    <row r="23">
      <c r="A23" s="10">
        <f>IF(Resumen!$A20="","",Resumen!$A20)</f>
        <v/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>
        <f>COUNTIF(B23:AF23,"V")+COUNTIF(B23:AF23,"M")*0.5</f>
        <v/>
      </c>
      <c r="AH23" s="18">
        <f>COUNTIF(B23:AF23,"P")+COUNTIF(B23:AF23,"B")+COUNTIF(B23:AF23,"A")</f>
        <v/>
      </c>
    </row>
    <row r="24">
      <c r="A24" s="10">
        <f>IF(Resumen!$A21="","",Resumen!$A21)</f>
        <v/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>
        <f>COUNTIF(B24:AF24,"V")+COUNTIF(B24:AF24,"M")*0.5</f>
        <v/>
      </c>
      <c r="AH24" s="18">
        <f>COUNTIF(B24:AF24,"P")+COUNTIF(B24:AF24,"B")+COUNTIF(B24:AF24,"A")</f>
        <v/>
      </c>
    </row>
    <row r="25">
      <c r="A25" s="10">
        <f>IF(Resumen!$A22="","",Resumen!$A22)</f>
        <v/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>
        <f>COUNTIF(B25:AF25,"V")+COUNTIF(B25:AF25,"M")*0.5</f>
        <v/>
      </c>
      <c r="AH25" s="18">
        <f>COUNTIF(B25:AF25,"P")+COUNTIF(B25:AF25,"B")+COUNTIF(B25:AF25,"A")</f>
        <v/>
      </c>
    </row>
    <row r="26">
      <c r="A26" s="10">
        <f>IF(Resumen!$A23="","",Resumen!$A23)</f>
        <v/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>
        <f>COUNTIF(B26:AF26,"V")+COUNTIF(B26:AF26,"M")*0.5</f>
        <v/>
      </c>
      <c r="AH26" s="18">
        <f>COUNTIF(B26:AF26,"P")+COUNTIF(B26:AF26,"B")+COUNTIF(B26:AF26,"A")</f>
        <v/>
      </c>
    </row>
    <row r="27">
      <c r="A27" s="10">
        <f>IF(Resumen!$A24="","",Resumen!$A24)</f>
        <v/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>
        <f>COUNTIF(B27:AF27,"V")+COUNTIF(B27:AF27,"M")*0.5</f>
        <v/>
      </c>
      <c r="AH27" s="18">
        <f>COUNTIF(B27:AF27,"P")+COUNTIF(B27:AF27,"B")+COUNTIF(B27:AF27,"A")</f>
        <v/>
      </c>
    </row>
    <row r="28">
      <c r="A28" s="10">
        <f>IF(Resumen!$A25="","",Resumen!$A25)</f>
        <v/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>
        <f>COUNTIF(B28:AF28,"V")+COUNTIF(B28:AF28,"M")*0.5</f>
        <v/>
      </c>
      <c r="AH28" s="18">
        <f>COUNTIF(B28:AF28,"P")+COUNTIF(B28:AF28,"B")+COUNTIF(B28:AF28,"A")</f>
        <v/>
      </c>
    </row>
    <row r="29">
      <c r="A29" s="10">
        <f>IF(Resumen!$A26="","",Resumen!$A26)</f>
        <v/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>
        <f>COUNTIF(B29:AF29,"V")+COUNTIF(B29:AF29,"M")*0.5</f>
        <v/>
      </c>
      <c r="AH29" s="18">
        <f>COUNTIF(B29:AF29,"P")+COUNTIF(B29:AF29,"B")+COUNTIF(B29:AF29,"A")</f>
        <v/>
      </c>
    </row>
    <row r="30">
      <c r="A30" s="10">
        <f>IF(Resumen!$A27="","",Resumen!$A27)</f>
        <v/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>
        <f>COUNTIF(B30:AF30,"V")+COUNTIF(B30:AF30,"M")*0.5</f>
        <v/>
      </c>
      <c r="AH30" s="18">
        <f>COUNTIF(B30:AF30,"P")+COUNTIF(B30:AF30,"B")+COUNTIF(B30:AF30,"A")</f>
        <v/>
      </c>
    </row>
    <row r="31">
      <c r="A31" s="10">
        <f>IF(Resumen!$A28="","",Resumen!$A28)</f>
        <v/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>
        <f>COUNTIF(B31:AF31,"V")+COUNTIF(B31:AF31,"M")*0.5</f>
        <v/>
      </c>
      <c r="AH31" s="18">
        <f>COUNTIF(B31:AF31,"P")+COUNTIF(B31:AF31,"B")+COUNTIF(B31:AF31,"A")</f>
        <v/>
      </c>
    </row>
    <row r="32">
      <c r="A32" s="10">
        <f>IF(Resumen!$A29="","",Resumen!$A29)</f>
        <v/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>
        <f>COUNTIF(B32:AF32,"V")+COUNTIF(B32:AF32,"M")*0.5</f>
        <v/>
      </c>
      <c r="AH32" s="18">
        <f>COUNTIF(B32:AF32,"P")+COUNTIF(B32:AF32,"B")+COUNTIF(B32:AF32,"A")</f>
        <v/>
      </c>
    </row>
    <row r="33">
      <c r="A33" s="10">
        <f>IF(Resumen!$A30="","",Resumen!$A30)</f>
        <v/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>
        <f>COUNTIF(B33:AF33,"V")+COUNTIF(B33:AF33,"M")*0.5</f>
        <v/>
      </c>
      <c r="AH33" s="18">
        <f>COUNTIF(B33:AF33,"P")+COUNTIF(B33:AF33,"B")+COUNTIF(B33:AF33,"A")</f>
        <v/>
      </c>
    </row>
    <row r="34">
      <c r="A34" s="10">
        <f>IF(Resumen!$A31="","",Resumen!$A31)</f>
        <v/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>
        <f>COUNTIF(B34:AF34,"V")+COUNTIF(B34:AF34,"M")*0.5</f>
        <v/>
      </c>
      <c r="AH34" s="18">
        <f>COUNTIF(B34:AF34,"P")+COUNTIF(B34:AF34,"B")+COUNTIF(B34:AF34,"A")</f>
        <v/>
      </c>
    </row>
    <row r="35">
      <c r="A35" s="10">
        <f>IF(Resumen!$A32="","",Resumen!$A32)</f>
        <v/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>
        <f>COUNTIF(B35:AF35,"V")+COUNTIF(B35:AF35,"M")*0.5</f>
        <v/>
      </c>
      <c r="AH35" s="18">
        <f>COUNTIF(B35:AF35,"P")+COUNTIF(B35:AF35,"B")+COUNTIF(B35:AF35,"A")</f>
        <v/>
      </c>
    </row>
    <row r="36">
      <c r="A36" s="10">
        <f>IF(Resumen!$A33="","",Resumen!$A33)</f>
        <v/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>
        <f>COUNTIF(B36:AF36,"V")+COUNTIF(B36:AF36,"M")*0.5</f>
        <v/>
      </c>
      <c r="AH36" s="18">
        <f>COUNTIF(B36:AF36,"P")+COUNTIF(B36:AF36,"B")+COUNTIF(B36:AF36,"A")</f>
        <v/>
      </c>
    </row>
    <row r="37">
      <c r="A37" s="10">
        <f>IF(Resumen!$A34="","",Resumen!$A34)</f>
        <v/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>
        <f>COUNTIF(B37:AF37,"V")+COUNTIF(B37:AF37,"M")*0.5</f>
        <v/>
      </c>
      <c r="AH37" s="18">
        <f>COUNTIF(B37:AF37,"P")+COUNTIF(B37:AF37,"B")+COUNTIF(B37:AF37,"A")</f>
        <v/>
      </c>
    </row>
    <row r="38">
      <c r="A38" s="10">
        <f>IF(Resumen!$A35="","",Resumen!$A35)</f>
        <v/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>
        <f>COUNTIF(B38:AF38,"V")+COUNTIF(B38:AF38,"M")*0.5</f>
        <v/>
      </c>
      <c r="AH38" s="18">
        <f>COUNTIF(B38:AF38,"P")+COUNTIF(B38:AF38,"B")+COUNTIF(B38:AF38,"A")</f>
        <v/>
      </c>
    </row>
    <row r="39">
      <c r="A39" s="10">
        <f>IF(Resumen!$A36="","",Resumen!$A36)</f>
        <v/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>
        <f>COUNTIF(B39:AF39,"V")+COUNTIF(B39:AF39,"M")*0.5</f>
        <v/>
      </c>
      <c r="AH39" s="18">
        <f>COUNTIF(B39:AF39,"P")+COUNTIF(B39:AF39,"B")+COUNTIF(B39:AF39,"A")</f>
        <v/>
      </c>
    </row>
    <row r="40">
      <c r="A40" s="10">
        <f>IF(Resumen!$A37="","",Resumen!$A37)</f>
        <v/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>
        <f>COUNTIF(B40:AF40,"V")+COUNTIF(B40:AF40,"M")*0.5</f>
        <v/>
      </c>
      <c r="AH40" s="18">
        <f>COUNTIF(B40:AF40,"P")+COUNTIF(B40:AF40,"B")+COUNTIF(B40:AF40,"A")</f>
        <v/>
      </c>
    </row>
    <row r="41">
      <c r="A41" s="10">
        <f>IF(Resumen!$A38="","",Resumen!$A38)</f>
        <v/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>
        <f>COUNTIF(B41:AF41,"V")+COUNTIF(B41:AF41,"M")*0.5</f>
        <v/>
      </c>
      <c r="AH41" s="18">
        <f>COUNTIF(B41:AF41,"P")+COUNTIF(B41:AF41,"B")+COUNTIF(B41:AF41,"A")</f>
        <v/>
      </c>
    </row>
    <row r="42">
      <c r="A42" s="10">
        <f>IF(Resumen!$A39="","",Resumen!$A39)</f>
        <v/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>
        <f>COUNTIF(B42:AF42,"V")+COUNTIF(B42:AF42,"M")*0.5</f>
        <v/>
      </c>
      <c r="AH42" s="18">
        <f>COUNTIF(B42:AF42,"P")+COUNTIF(B42:AF42,"B")+COUNTIF(B42:AF42,"A")</f>
        <v/>
      </c>
    </row>
    <row r="43">
      <c r="A43" s="10">
        <f>IF(Resumen!$A40="","",Resumen!$A40)</f>
        <v/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>
        <f>COUNTIF(B43:AF43,"V")+COUNTIF(B43:AF43,"M")*0.5</f>
        <v/>
      </c>
      <c r="AH43" s="18">
        <f>COUNTIF(B43:AF43,"P")+COUNTIF(B43:AF43,"B")+COUNTIF(B43:AF43,"A")</f>
        <v/>
      </c>
    </row>
    <row r="44">
      <c r="A44" s="10">
        <f>IF(Resumen!$A41="","",Resumen!$A41)</f>
        <v/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>
        <f>COUNTIF(B44:AF44,"V")+COUNTIF(B44:AF44,"M")*0.5</f>
        <v/>
      </c>
      <c r="AH44" s="18">
        <f>COUNTIF(B44:AF44,"P")+COUNTIF(B44:AF44,"B")+COUNTIF(B44:AF44,"A")</f>
        <v/>
      </c>
    </row>
    <row r="45">
      <c r="A45" s="10">
        <f>IF(Resumen!$A42="","",Resumen!$A42)</f>
        <v/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>
        <f>COUNTIF(B45:AF45,"V")+COUNTIF(B45:AF45,"M")*0.5</f>
        <v/>
      </c>
      <c r="AH45" s="18">
        <f>COUNTIF(B45:AF45,"P")+COUNTIF(B45:AF45,"B")+COUNTIF(B45:AF45,"A")</f>
        <v/>
      </c>
    </row>
    <row r="46">
      <c r="A46" s="10">
        <f>IF(Resumen!$A43="","",Resumen!$A43)</f>
        <v/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>
        <f>COUNTIF(B46:AF46,"V")+COUNTIF(B46:AF46,"M")*0.5</f>
        <v/>
      </c>
      <c r="AH46" s="18">
        <f>COUNTIF(B46:AF46,"P")+COUNTIF(B46:AF46,"B")+COUNTIF(B46:AF46,"A")</f>
        <v/>
      </c>
    </row>
    <row r="47">
      <c r="A47" s="10">
        <f>IF(Resumen!$A44="","",Resumen!$A44)</f>
        <v/>
      </c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>
        <f>COUNTIF(B47:AF47,"V")+COUNTIF(B47:AF47,"M")*0.5</f>
        <v/>
      </c>
      <c r="AH47" s="18">
        <f>COUNTIF(B47:AF47,"P")+COUNTIF(B47:AF47,"B")+COUNTIF(B47:AF47,"A")</f>
        <v/>
      </c>
    </row>
    <row r="48">
      <c r="A48" s="10">
        <f>IF(Resumen!$A45="","",Resumen!$A45)</f>
        <v/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>
        <f>COUNTIF(B48:AF48,"V")+COUNTIF(B48:AF48,"M")*0.5</f>
        <v/>
      </c>
      <c r="AH48" s="18">
        <f>COUNTIF(B48:AF48,"P")+COUNTIF(B48:AF48,"B")+COUNTIF(B48:AF48,"A")</f>
        <v/>
      </c>
    </row>
    <row r="50">
      <c r="A50" s="19" t="inlineStr">
        <is>
          <t>Faltan ese día</t>
        </is>
      </c>
      <c r="B50" s="13">
        <f>IF(B$5="","",COUNTIF(B$9:B$48,"?*"))</f>
        <v/>
      </c>
      <c r="C50" s="13">
        <f>IF(C$5="","",COUNTIF(C$9:C$48,"?*"))</f>
        <v/>
      </c>
      <c r="D50" s="13">
        <f>IF(D$5="","",COUNTIF(D$9:D$48,"?*"))</f>
        <v/>
      </c>
      <c r="E50" s="13">
        <f>IF(E$5="","",COUNTIF(E$9:E$48,"?*"))</f>
        <v/>
      </c>
      <c r="F50" s="13">
        <f>IF(F$5="","",COUNTIF(F$9:F$48,"?*"))</f>
        <v/>
      </c>
      <c r="G50" s="13">
        <f>IF(G$5="","",COUNTIF(G$9:G$48,"?*"))</f>
        <v/>
      </c>
      <c r="H50" s="13">
        <f>IF(H$5="","",COUNTIF(H$9:H$48,"?*"))</f>
        <v/>
      </c>
      <c r="I50" s="13">
        <f>IF(I$5="","",COUNTIF(I$9:I$48,"?*"))</f>
        <v/>
      </c>
      <c r="J50" s="13">
        <f>IF(J$5="","",COUNTIF(J$9:J$48,"?*"))</f>
        <v/>
      </c>
      <c r="K50" s="13">
        <f>IF(K$5="","",COUNTIF(K$9:K$48,"?*"))</f>
        <v/>
      </c>
      <c r="L50" s="13">
        <f>IF(L$5="","",COUNTIF(L$9:L$48,"?*"))</f>
        <v/>
      </c>
      <c r="M50" s="13">
        <f>IF(M$5="","",COUNTIF(M$9:M$48,"?*"))</f>
        <v/>
      </c>
      <c r="N50" s="13">
        <f>IF(N$5="","",COUNTIF(N$9:N$48,"?*"))</f>
        <v/>
      </c>
      <c r="O50" s="13">
        <f>IF(O$5="","",COUNTIF(O$9:O$48,"?*"))</f>
        <v/>
      </c>
      <c r="P50" s="13">
        <f>IF(P$5="","",COUNTIF(P$9:P$48,"?*"))</f>
        <v/>
      </c>
      <c r="Q50" s="13">
        <f>IF(Q$5="","",COUNTIF(Q$9:Q$48,"?*"))</f>
        <v/>
      </c>
      <c r="R50" s="13">
        <f>IF(R$5="","",COUNTIF(R$9:R$48,"?*"))</f>
        <v/>
      </c>
      <c r="S50" s="13">
        <f>IF(S$5="","",COUNTIF(S$9:S$48,"?*"))</f>
        <v/>
      </c>
      <c r="T50" s="13">
        <f>IF(T$5="","",COUNTIF(T$9:T$48,"?*"))</f>
        <v/>
      </c>
      <c r="U50" s="13">
        <f>IF(U$5="","",COUNTIF(U$9:U$48,"?*"))</f>
        <v/>
      </c>
      <c r="V50" s="13">
        <f>IF(V$5="","",COUNTIF(V$9:V$48,"?*"))</f>
        <v/>
      </c>
      <c r="W50" s="13">
        <f>IF(W$5="","",COUNTIF(W$9:W$48,"?*"))</f>
        <v/>
      </c>
      <c r="X50" s="13">
        <f>IF(X$5="","",COUNTIF(X$9:X$48,"?*"))</f>
        <v/>
      </c>
      <c r="Y50" s="13">
        <f>IF(Y$5="","",COUNTIF(Y$9:Y$48,"?*"))</f>
        <v/>
      </c>
      <c r="Z50" s="13">
        <f>IF(Z$5="","",COUNTIF(Z$9:Z$48,"?*"))</f>
        <v/>
      </c>
      <c r="AA50" s="13">
        <f>IF(AA$5="","",COUNTIF(AA$9:AA$48,"?*"))</f>
        <v/>
      </c>
      <c r="AB50" s="13">
        <f>IF(AB$5="","",COUNTIF(AB$9:AB$48,"?*"))</f>
        <v/>
      </c>
      <c r="AC50" s="13">
        <f>IF(AC$5="","",COUNTIF(AC$9:AC$48,"?*"))</f>
        <v/>
      </c>
      <c r="AD50" s="13">
        <f>IF(AD$5="","",COUNTIF(AD$9:AD$48,"?*"))</f>
        <v/>
      </c>
      <c r="AE50" s="13">
        <f>IF(AE$5="","",COUNTIF(AE$9:AE$48,"?*"))</f>
        <v/>
      </c>
      <c r="AF50" s="13">
        <f>IF(AF$5="","",COUNTIF(AF$9:AF$48,"?*"))</f>
        <v/>
      </c>
    </row>
    <row r="51">
      <c r="A51" s="3" t="inlineStr">
        <is>
          <t>Están ese día</t>
        </is>
      </c>
      <c r="B51" s="13">
        <f>IF(B$5="","",COUNTIF($A$9:$A$48,"?*")-B50)</f>
        <v/>
      </c>
      <c r="C51" s="13">
        <f>IF(C$5="","",COUNTIF($A$9:$A$48,"?*")-C50)</f>
        <v/>
      </c>
      <c r="D51" s="13">
        <f>IF(D$5="","",COUNTIF($A$9:$A$48,"?*")-D50)</f>
        <v/>
      </c>
      <c r="E51" s="13">
        <f>IF(E$5="","",COUNTIF($A$9:$A$48,"?*")-E50)</f>
        <v/>
      </c>
      <c r="F51" s="13">
        <f>IF(F$5="","",COUNTIF($A$9:$A$48,"?*")-F50)</f>
        <v/>
      </c>
      <c r="G51" s="13">
        <f>IF(G$5="","",COUNTIF($A$9:$A$48,"?*")-G50)</f>
        <v/>
      </c>
      <c r="H51" s="13">
        <f>IF(H$5="","",COUNTIF($A$9:$A$48,"?*")-H50)</f>
        <v/>
      </c>
      <c r="I51" s="13">
        <f>IF(I$5="","",COUNTIF($A$9:$A$48,"?*")-I50)</f>
        <v/>
      </c>
      <c r="J51" s="13">
        <f>IF(J$5="","",COUNTIF($A$9:$A$48,"?*")-J50)</f>
        <v/>
      </c>
      <c r="K51" s="13">
        <f>IF(K$5="","",COUNTIF($A$9:$A$48,"?*")-K50)</f>
        <v/>
      </c>
      <c r="L51" s="13">
        <f>IF(L$5="","",COUNTIF($A$9:$A$48,"?*")-L50)</f>
        <v/>
      </c>
      <c r="M51" s="13">
        <f>IF(M$5="","",COUNTIF($A$9:$A$48,"?*")-M50)</f>
        <v/>
      </c>
      <c r="N51" s="13">
        <f>IF(N$5="","",COUNTIF($A$9:$A$48,"?*")-N50)</f>
        <v/>
      </c>
      <c r="O51" s="13">
        <f>IF(O$5="","",COUNTIF($A$9:$A$48,"?*")-O50)</f>
        <v/>
      </c>
      <c r="P51" s="13">
        <f>IF(P$5="","",COUNTIF($A$9:$A$48,"?*")-P50)</f>
        <v/>
      </c>
      <c r="Q51" s="13">
        <f>IF(Q$5="","",COUNTIF($A$9:$A$48,"?*")-Q50)</f>
        <v/>
      </c>
      <c r="R51" s="13">
        <f>IF(R$5="","",COUNTIF($A$9:$A$48,"?*")-R50)</f>
        <v/>
      </c>
      <c r="S51" s="13">
        <f>IF(S$5="","",COUNTIF($A$9:$A$48,"?*")-S50)</f>
        <v/>
      </c>
      <c r="T51" s="13">
        <f>IF(T$5="","",COUNTIF($A$9:$A$48,"?*")-T50)</f>
        <v/>
      </c>
      <c r="U51" s="13">
        <f>IF(U$5="","",COUNTIF($A$9:$A$48,"?*")-U50)</f>
        <v/>
      </c>
      <c r="V51" s="13">
        <f>IF(V$5="","",COUNTIF($A$9:$A$48,"?*")-V50)</f>
        <v/>
      </c>
      <c r="W51" s="13">
        <f>IF(W$5="","",COUNTIF($A$9:$A$48,"?*")-W50)</f>
        <v/>
      </c>
      <c r="X51" s="13">
        <f>IF(X$5="","",COUNTIF($A$9:$A$48,"?*")-X50)</f>
        <v/>
      </c>
      <c r="Y51" s="13">
        <f>IF(Y$5="","",COUNTIF($A$9:$A$48,"?*")-Y50)</f>
        <v/>
      </c>
      <c r="Z51" s="13">
        <f>IF(Z$5="","",COUNTIF($A$9:$A$48,"?*")-Z50)</f>
        <v/>
      </c>
      <c r="AA51" s="13">
        <f>IF(AA$5="","",COUNTIF($A$9:$A$48,"?*")-AA50)</f>
        <v/>
      </c>
      <c r="AB51" s="13">
        <f>IF(AB$5="","",COUNTIF($A$9:$A$48,"?*")-AB50)</f>
        <v/>
      </c>
      <c r="AC51" s="13">
        <f>IF(AC$5="","",COUNTIF($A$9:$A$48,"?*")-AC50)</f>
        <v/>
      </c>
      <c r="AD51" s="13">
        <f>IF(AD$5="","",COUNTIF($A$9:$A$48,"?*")-AD50)</f>
        <v/>
      </c>
      <c r="AE51" s="13">
        <f>IF(AE$5="","",COUNTIF($A$9:$A$48,"?*")-AE50)</f>
        <v/>
      </c>
      <c r="AF51" s="13">
        <f>IF(AF$5="","",COUNTIF($A$9:$A$48,"?*")-AF50)</f>
        <v/>
      </c>
    </row>
    <row r="53">
      <c r="A53" s="3" t="inlineStr">
        <is>
          <t>Leyenda</t>
        </is>
      </c>
    </row>
    <row r="54">
      <c r="A54" s="20" t="inlineStr">
        <is>
          <t>V · Vacaciones</t>
        </is>
      </c>
    </row>
    <row r="55">
      <c r="A55" s="21" t="inlineStr">
        <is>
          <t>M · Medio día de vacaciones</t>
        </is>
      </c>
    </row>
    <row r="56">
      <c r="A56" s="22" t="inlineStr">
        <is>
          <t>P · Permiso retribuido</t>
        </is>
      </c>
    </row>
    <row r="57">
      <c r="A57" s="23" t="inlineStr">
        <is>
          <t>B · Baja médica</t>
        </is>
      </c>
    </row>
    <row r="58">
      <c r="A58" s="24" t="inlineStr">
        <is>
          <t>A · Otra ausencia</t>
        </is>
      </c>
    </row>
    <row r="59">
      <c r="A59" s="25" t="inlineStr">
        <is>
          <t>Festivo</t>
        </is>
      </c>
    </row>
    <row r="60">
      <c r="A60" s="26" t="inlineStr">
        <is>
          <t>Sábado y domingo</t>
        </is>
      </c>
    </row>
  </sheetData>
  <conditionalFormatting sqref="B9:AF48">
    <cfRule type="cellIs" priority="1" operator="equal" dxfId="1">
      <formula>"V"</formula>
    </cfRule>
    <cfRule type="cellIs" priority="2" operator="equal" dxfId="2">
      <formula>"M"</formula>
    </cfRule>
    <cfRule type="cellIs" priority="3" operator="equal" dxfId="3">
      <formula>"P"</formula>
    </cfRule>
    <cfRule type="cellIs" priority="4" operator="equal" dxfId="4">
      <formula>"B"</formula>
    </cfRule>
    <cfRule type="cellIs" priority="5" operator="equal" dxfId="5">
      <formula>"A"</formula>
    </cfRule>
    <cfRule type="expression" priority="6" dxfId="6">
      <formula>B$7="F"</formula>
    </cfRule>
    <cfRule type="expression" priority="7" dxfId="7">
      <formula>OR(B$6="S",B$6="D")</formula>
    </cfRule>
  </conditionalFormatting>
  <dataValidations count="1">
    <dataValidation sqref="B9:AF9 B10:AF10 B11:AF11 B12:AF12 B13:AF13 B14:AF14 B15:AF15 B16:AF16 B17:AF17 B18:AF18 B19:AF19 B20:AF20 B21:AF21 B22:AF22 B23:AF23 B24:AF24 B25:AF25 B26:AF26 B27:AF27 B28:AF28 B29:AF29 B30:AF30 B31:AF31 B32:AF32 B33:AF33 B34:AF34 B35:AF35 B36:AF36 B37:AF37 B38:AF38 B39:AF39 B40:AF40 B41:AF41 B42:AF42 B43:AF43 B44:AF44 B45:AF45 B46:AF46 B47:AF47 B48:AF48" showDropDown="0" showInputMessage="0" showErrorMessage="1" allowBlank="1" errorTitle="Código" error="Usa V, M, P, B o A." type="list">
      <formula1>"V,M,P,B,A"</formula1>
    </dataValidation>
  </dataValidations>
  <hyperlinks>
    <hyperlink xmlns:r="http://schemas.openxmlformats.org/officeDocument/2006/relationships" ref="N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satcontrol.es/vacaciones-y-ausencias/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3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40" customWidth="1" min="3" max="3"/>
    <col width="12" customWidth="1" min="5" max="5"/>
    <col width="40" customWidth="1" min="6" max="6"/>
    <col width="30" customWidth="1" min="8" max="8"/>
  </cols>
  <sheetData>
    <row r="1">
      <c r="A1" s="27" t="inlineStr">
        <is>
          <t>Festivos de 2027</t>
        </is>
      </c>
    </row>
    <row r="2">
      <c r="A2" s="7" t="inlineStr">
        <is>
          <t>Del BOE del 13 de octubre de 2026 (BOE-A-2026-21254). En «Resumen» eliges la comunidad: sus fiestas se sombrean solas en cada mes.</t>
        </is>
      </c>
    </row>
    <row r="4">
      <c r="A4" s="14" t="inlineStr">
        <is>
          <t>Comunidad</t>
        </is>
      </c>
      <c r="B4" s="14" t="inlineStr">
        <is>
          <t>Fecha</t>
        </is>
      </c>
      <c r="C4" s="14" t="inlineStr">
        <is>
          <t>Fiesta</t>
        </is>
      </c>
      <c r="E4" s="14" t="inlineStr">
        <is>
          <t>Fecha</t>
        </is>
      </c>
      <c r="F4" s="14" t="inlineStr">
        <is>
          <t>Fiestas locales, de tu isla u otros días</t>
        </is>
      </c>
      <c r="H4" s="28" t="inlineStr">
        <is>
          <t>Comunidades</t>
        </is>
      </c>
    </row>
    <row r="5">
      <c r="A5" t="inlineStr">
        <is>
          <t>Toda España (solo las comunes)</t>
        </is>
      </c>
      <c r="B5" s="29" t="n">
        <v>46388</v>
      </c>
      <c r="C5" t="inlineStr">
        <is>
          <t>Año Nuevo</t>
        </is>
      </c>
      <c r="E5" s="30" t="n"/>
      <c r="F5" s="10" t="n"/>
      <c r="H5" t="inlineStr">
        <is>
          <t>Toda España (solo las comunes)</t>
        </is>
      </c>
    </row>
    <row r="6">
      <c r="A6" t="inlineStr">
        <is>
          <t>Toda España (solo las comunes)</t>
        </is>
      </c>
      <c r="B6" s="29" t="n">
        <v>46472</v>
      </c>
      <c r="C6" t="inlineStr">
        <is>
          <t>Viernes Santo</t>
        </is>
      </c>
      <c r="E6" s="30" t="n"/>
      <c r="F6" s="10" t="n"/>
      <c r="H6" t="inlineStr">
        <is>
          <t>Andalucía</t>
        </is>
      </c>
    </row>
    <row r="7">
      <c r="A7" t="inlineStr">
        <is>
          <t>Toda España (solo las comunes)</t>
        </is>
      </c>
      <c r="B7" s="29" t="n">
        <v>46508</v>
      </c>
      <c r="C7" t="inlineStr">
        <is>
          <t>Fiesta del Trabajo</t>
        </is>
      </c>
      <c r="E7" s="30" t="n"/>
      <c r="F7" s="10" t="n"/>
      <c r="H7" t="inlineStr">
        <is>
          <t>Aragón</t>
        </is>
      </c>
    </row>
    <row r="8">
      <c r="A8" t="inlineStr">
        <is>
          <t>Toda España (solo las comunes)</t>
        </is>
      </c>
      <c r="B8" s="29" t="n">
        <v>46672</v>
      </c>
      <c r="C8" t="inlineStr">
        <is>
          <t>Fiesta Nacional de España</t>
        </is>
      </c>
      <c r="E8" s="30" t="n"/>
      <c r="F8" s="10" t="n"/>
      <c r="H8" t="inlineStr">
        <is>
          <t>Asturias</t>
        </is>
      </c>
    </row>
    <row r="9">
      <c r="A9" t="inlineStr">
        <is>
          <t>Toda España (solo las comunes)</t>
        </is>
      </c>
      <c r="B9" s="29" t="n">
        <v>46692</v>
      </c>
      <c r="C9" t="inlineStr">
        <is>
          <t>Todos los Santos</t>
        </is>
      </c>
      <c r="E9" s="30" t="n"/>
      <c r="F9" s="10" t="n"/>
      <c r="H9" t="inlineStr">
        <is>
          <t>Illes Balears</t>
        </is>
      </c>
    </row>
    <row r="10">
      <c r="A10" t="inlineStr">
        <is>
          <t>Toda España (solo las comunes)</t>
        </is>
      </c>
      <c r="B10" s="29" t="n">
        <v>46727</v>
      </c>
      <c r="C10" t="inlineStr">
        <is>
          <t>Día de la Constitución Española</t>
        </is>
      </c>
      <c r="E10" s="30" t="n"/>
      <c r="F10" s="10" t="n"/>
      <c r="H10" t="inlineStr">
        <is>
          <t>Canarias</t>
        </is>
      </c>
    </row>
    <row r="11">
      <c r="A11" t="inlineStr">
        <is>
          <t>Toda España (solo las comunes)</t>
        </is>
      </c>
      <c r="B11" s="29" t="n">
        <v>46729</v>
      </c>
      <c r="C11" t="inlineStr">
        <is>
          <t>Inmaculada Concepción</t>
        </is>
      </c>
      <c r="E11" s="30" t="n"/>
      <c r="F11" s="10" t="n"/>
      <c r="H11" t="inlineStr">
        <is>
          <t>Cantabria</t>
        </is>
      </c>
    </row>
    <row r="12">
      <c r="A12" t="inlineStr">
        <is>
          <t>Toda España (solo las comunes)</t>
        </is>
      </c>
      <c r="B12" s="29" t="n">
        <v>46746</v>
      </c>
      <c r="C12" t="inlineStr">
        <is>
          <t>Natividad del Señor</t>
        </is>
      </c>
      <c r="E12" s="30" t="n"/>
      <c r="F12" s="10" t="n"/>
      <c r="H12" t="inlineStr">
        <is>
          <t>Castilla-La Mancha</t>
        </is>
      </c>
    </row>
    <row r="13">
      <c r="A13" t="inlineStr">
        <is>
          <t>Andalucía</t>
        </is>
      </c>
      <c r="B13" s="29" t="n">
        <v>46388</v>
      </c>
      <c r="C13" t="inlineStr">
        <is>
          <t>Año Nuevo</t>
        </is>
      </c>
      <c r="E13" s="30" t="n"/>
      <c r="F13" s="10" t="n"/>
      <c r="H13" t="inlineStr">
        <is>
          <t>Castilla y León</t>
        </is>
      </c>
    </row>
    <row r="14">
      <c r="A14" t="inlineStr">
        <is>
          <t>Andalucía</t>
        </is>
      </c>
      <c r="B14" s="29" t="n">
        <v>46393</v>
      </c>
      <c r="C14" t="inlineStr">
        <is>
          <t>Epifanía del Señor</t>
        </is>
      </c>
      <c r="E14" s="30" t="n"/>
      <c r="F14" s="10" t="n"/>
      <c r="H14" t="inlineStr">
        <is>
          <t>Cataluña</t>
        </is>
      </c>
    </row>
    <row r="15">
      <c r="A15" t="inlineStr">
        <is>
          <t>Andalucía</t>
        </is>
      </c>
      <c r="B15" s="29" t="n">
        <v>46447</v>
      </c>
      <c r="C15" t="inlineStr">
        <is>
          <t>Día de Andalucía</t>
        </is>
      </c>
      <c r="E15" s="30" t="n"/>
      <c r="F15" s="10" t="n"/>
      <c r="H15" t="inlineStr">
        <is>
          <t>Extremadura</t>
        </is>
      </c>
    </row>
    <row r="16">
      <c r="A16" t="inlineStr">
        <is>
          <t>Andalucía</t>
        </is>
      </c>
      <c r="B16" s="29" t="n">
        <v>46471</v>
      </c>
      <c r="C16" t="inlineStr">
        <is>
          <t>Jueves Santo</t>
        </is>
      </c>
      <c r="E16" s="30" t="n"/>
      <c r="F16" s="10" t="n"/>
      <c r="H16" t="inlineStr">
        <is>
          <t>Galicia</t>
        </is>
      </c>
    </row>
    <row r="17">
      <c r="A17" t="inlineStr">
        <is>
          <t>Andalucía</t>
        </is>
      </c>
      <c r="B17" s="29" t="n">
        <v>46472</v>
      </c>
      <c r="C17" t="inlineStr">
        <is>
          <t>Viernes Santo</t>
        </is>
      </c>
      <c r="E17" s="30" t="n"/>
      <c r="F17" s="10" t="n"/>
      <c r="H17" t="inlineStr">
        <is>
          <t>Comunidad de Madrid</t>
        </is>
      </c>
    </row>
    <row r="18">
      <c r="A18" t="inlineStr">
        <is>
          <t>Andalucía</t>
        </is>
      </c>
      <c r="B18" s="29" t="n">
        <v>46508</v>
      </c>
      <c r="C18" t="inlineStr">
        <is>
          <t>Fiesta del Trabajo</t>
        </is>
      </c>
      <c r="E18" s="30" t="n"/>
      <c r="F18" s="10" t="n"/>
      <c r="H18" t="inlineStr">
        <is>
          <t>Región de Murcia</t>
        </is>
      </c>
    </row>
    <row r="19">
      <c r="A19" t="inlineStr">
        <is>
          <t>Andalucía</t>
        </is>
      </c>
      <c r="B19" s="29" t="n">
        <v>46615</v>
      </c>
      <c r="C19" t="inlineStr">
        <is>
          <t>Lunes siguiente a la Asunción de la Virgen</t>
        </is>
      </c>
      <c r="E19" s="30" t="n"/>
      <c r="F19" s="10" t="n"/>
      <c r="H19" t="inlineStr">
        <is>
          <t>Comunidad Foral de Navarra</t>
        </is>
      </c>
    </row>
    <row r="20">
      <c r="A20" t="inlineStr">
        <is>
          <t>Andalucía</t>
        </is>
      </c>
      <c r="B20" s="29" t="n">
        <v>46672</v>
      </c>
      <c r="C20" t="inlineStr">
        <is>
          <t>Fiesta Nacional de España</t>
        </is>
      </c>
      <c r="E20" s="30" t="n"/>
      <c r="F20" s="10" t="n"/>
      <c r="H20" t="inlineStr">
        <is>
          <t>País Vasco</t>
        </is>
      </c>
    </row>
    <row r="21">
      <c r="A21" t="inlineStr">
        <is>
          <t>Andalucía</t>
        </is>
      </c>
      <c r="B21" s="29" t="n">
        <v>46692</v>
      </c>
      <c r="C21" t="inlineStr">
        <is>
          <t>Todos los Santos</t>
        </is>
      </c>
      <c r="E21" s="30" t="n"/>
      <c r="F21" s="10" t="n"/>
      <c r="H21" t="inlineStr">
        <is>
          <t>La Rioja</t>
        </is>
      </c>
    </row>
    <row r="22">
      <c r="A22" t="inlineStr">
        <is>
          <t>Andalucía</t>
        </is>
      </c>
      <c r="B22" s="29" t="n">
        <v>46727</v>
      </c>
      <c r="C22" t="inlineStr">
        <is>
          <t>Día de la Constitución Española</t>
        </is>
      </c>
      <c r="E22" s="30" t="n"/>
      <c r="F22" s="10" t="n"/>
      <c r="H22" t="inlineStr">
        <is>
          <t>Comunitat Valenciana</t>
        </is>
      </c>
    </row>
    <row r="23">
      <c r="A23" t="inlineStr">
        <is>
          <t>Andalucía</t>
        </is>
      </c>
      <c r="B23" s="29" t="n">
        <v>46729</v>
      </c>
      <c r="C23" t="inlineStr">
        <is>
          <t>Inmaculada Concepción</t>
        </is>
      </c>
      <c r="E23" s="30" t="n"/>
      <c r="F23" s="10" t="n"/>
      <c r="H23" t="inlineStr">
        <is>
          <t>Ceuta</t>
        </is>
      </c>
    </row>
    <row r="24">
      <c r="A24" t="inlineStr">
        <is>
          <t>Andalucía</t>
        </is>
      </c>
      <c r="B24" s="29" t="n">
        <v>46746</v>
      </c>
      <c r="C24" t="inlineStr">
        <is>
          <t>Natividad del Señor</t>
        </is>
      </c>
      <c r="E24" s="30" t="n"/>
      <c r="F24" s="10" t="n"/>
      <c r="H24" t="inlineStr">
        <is>
          <t>Melilla</t>
        </is>
      </c>
    </row>
    <row r="25">
      <c r="A25" t="inlineStr">
        <is>
          <t>Aragón</t>
        </is>
      </c>
      <c r="B25" s="29" t="n">
        <v>46388</v>
      </c>
      <c r="C25" t="inlineStr">
        <is>
          <t>Año Nuevo</t>
        </is>
      </c>
    </row>
    <row r="26">
      <c r="A26" t="inlineStr">
        <is>
          <t>Aragón</t>
        </is>
      </c>
      <c r="B26" s="29" t="n">
        <v>46393</v>
      </c>
      <c r="C26" t="inlineStr">
        <is>
          <t>Epifanía del Señor</t>
        </is>
      </c>
      <c r="E26" s="7" t="inlineStr">
        <is>
          <t>Las dos fiestas locales las fija tu ayuntamiento y las publica el boletín de tu comunidad o de tu provincia.</t>
        </is>
      </c>
    </row>
    <row r="27">
      <c r="A27" t="inlineStr">
        <is>
          <t>Aragón</t>
        </is>
      </c>
      <c r="B27" s="29" t="n">
        <v>46471</v>
      </c>
      <c r="C27" t="inlineStr">
        <is>
          <t>Jueves Santo</t>
        </is>
      </c>
    </row>
    <row r="28">
      <c r="A28" t="inlineStr">
        <is>
          <t>Aragón</t>
        </is>
      </c>
      <c r="B28" s="29" t="n">
        <v>46472</v>
      </c>
      <c r="C28" t="inlineStr">
        <is>
          <t>Viernes Santo</t>
        </is>
      </c>
    </row>
    <row r="29">
      <c r="A29" t="inlineStr">
        <is>
          <t>Aragón</t>
        </is>
      </c>
      <c r="B29" s="29" t="n">
        <v>46500</v>
      </c>
      <c r="C29" t="inlineStr">
        <is>
          <t>San Jorge/Día de Aragón</t>
        </is>
      </c>
    </row>
    <row r="30">
      <c r="A30" t="inlineStr">
        <is>
          <t>Aragón</t>
        </is>
      </c>
      <c r="B30" s="29" t="n">
        <v>46508</v>
      </c>
      <c r="C30" t="inlineStr">
        <is>
          <t>Fiesta del Trabajo</t>
        </is>
      </c>
    </row>
    <row r="31">
      <c r="A31" t="inlineStr">
        <is>
          <t>Aragón</t>
        </is>
      </c>
      <c r="B31" s="29" t="n">
        <v>46615</v>
      </c>
      <c r="C31" t="inlineStr">
        <is>
          <t>Lunes siguiente a la Asunción de la Virgen</t>
        </is>
      </c>
    </row>
    <row r="32">
      <c r="A32" t="inlineStr">
        <is>
          <t>Aragón</t>
        </is>
      </c>
      <c r="B32" s="29" t="n">
        <v>46672</v>
      </c>
      <c r="C32" t="inlineStr">
        <is>
          <t>Fiesta Nacional de España</t>
        </is>
      </c>
    </row>
    <row r="33">
      <c r="A33" t="inlineStr">
        <is>
          <t>Aragón</t>
        </is>
      </c>
      <c r="B33" s="29" t="n">
        <v>46692</v>
      </c>
      <c r="C33" t="inlineStr">
        <is>
          <t>Todos los Santos</t>
        </is>
      </c>
    </row>
    <row r="34">
      <c r="A34" t="inlineStr">
        <is>
          <t>Aragón</t>
        </is>
      </c>
      <c r="B34" s="29" t="n">
        <v>46727</v>
      </c>
      <c r="C34" t="inlineStr">
        <is>
          <t>Día de la Constitución Española</t>
        </is>
      </c>
    </row>
    <row r="35">
      <c r="A35" t="inlineStr">
        <is>
          <t>Aragón</t>
        </is>
      </c>
      <c r="B35" s="29" t="n">
        <v>46729</v>
      </c>
      <c r="C35" t="inlineStr">
        <is>
          <t>Inmaculada Concepción</t>
        </is>
      </c>
    </row>
    <row r="36">
      <c r="A36" t="inlineStr">
        <is>
          <t>Aragón</t>
        </is>
      </c>
      <c r="B36" s="29" t="n">
        <v>46746</v>
      </c>
      <c r="C36" t="inlineStr">
        <is>
          <t>Natividad del Señor</t>
        </is>
      </c>
    </row>
    <row r="37">
      <c r="A37" t="inlineStr">
        <is>
          <t>Asturias</t>
        </is>
      </c>
      <c r="B37" s="29" t="n">
        <v>46388</v>
      </c>
      <c r="C37" t="inlineStr">
        <is>
          <t>Año Nuevo</t>
        </is>
      </c>
    </row>
    <row r="38">
      <c r="A38" t="inlineStr">
        <is>
          <t>Asturias</t>
        </is>
      </c>
      <c r="B38" s="29" t="n">
        <v>46393</v>
      </c>
      <c r="C38" t="inlineStr">
        <is>
          <t>Epifanía del Señor</t>
        </is>
      </c>
    </row>
    <row r="39">
      <c r="A39" t="inlineStr">
        <is>
          <t>Asturias</t>
        </is>
      </c>
      <c r="B39" s="29" t="n">
        <v>46471</v>
      </c>
      <c r="C39" t="inlineStr">
        <is>
          <t>Jueves Santo</t>
        </is>
      </c>
    </row>
    <row r="40">
      <c r="A40" t="inlineStr">
        <is>
          <t>Asturias</t>
        </is>
      </c>
      <c r="B40" s="29" t="n">
        <v>46472</v>
      </c>
      <c r="C40" t="inlineStr">
        <is>
          <t>Viernes Santo</t>
        </is>
      </c>
    </row>
    <row r="41">
      <c r="A41" t="inlineStr">
        <is>
          <t>Asturias</t>
        </is>
      </c>
      <c r="B41" s="29" t="n">
        <v>46508</v>
      </c>
      <c r="C41" t="inlineStr">
        <is>
          <t>Fiesta del Trabajo</t>
        </is>
      </c>
    </row>
    <row r="42">
      <c r="A42" t="inlineStr">
        <is>
          <t>Asturias</t>
        </is>
      </c>
      <c r="B42" s="29" t="n">
        <v>46615</v>
      </c>
      <c r="C42" t="inlineStr">
        <is>
          <t>Lunes siguiente a la Asunción de la Virgen</t>
        </is>
      </c>
    </row>
    <row r="43">
      <c r="A43" t="inlineStr">
        <is>
          <t>Asturias</t>
        </is>
      </c>
      <c r="B43" s="29" t="n">
        <v>46638</v>
      </c>
      <c r="C43" t="inlineStr">
        <is>
          <t>Día de Asturias</t>
        </is>
      </c>
    </row>
    <row r="44">
      <c r="A44" t="inlineStr">
        <is>
          <t>Asturias</t>
        </is>
      </c>
      <c r="B44" s="29" t="n">
        <v>46672</v>
      </c>
      <c r="C44" t="inlineStr">
        <is>
          <t>Fiesta Nacional de España</t>
        </is>
      </c>
    </row>
    <row r="45">
      <c r="A45" t="inlineStr">
        <is>
          <t>Asturias</t>
        </is>
      </c>
      <c r="B45" s="29" t="n">
        <v>46692</v>
      </c>
      <c r="C45" t="inlineStr">
        <is>
          <t>Todos los Santos</t>
        </is>
      </c>
    </row>
    <row r="46">
      <c r="A46" t="inlineStr">
        <is>
          <t>Asturias</t>
        </is>
      </c>
      <c r="B46" s="29" t="n">
        <v>46727</v>
      </c>
      <c r="C46" t="inlineStr">
        <is>
          <t>Día de la Constitución Española</t>
        </is>
      </c>
    </row>
    <row r="47">
      <c r="A47" t="inlineStr">
        <is>
          <t>Asturias</t>
        </is>
      </c>
      <c r="B47" s="29" t="n">
        <v>46729</v>
      </c>
      <c r="C47" t="inlineStr">
        <is>
          <t>Inmaculada Concepción</t>
        </is>
      </c>
    </row>
    <row r="48">
      <c r="A48" t="inlineStr">
        <is>
          <t>Asturias</t>
        </is>
      </c>
      <c r="B48" s="29" t="n">
        <v>46746</v>
      </c>
      <c r="C48" t="inlineStr">
        <is>
          <t>Natividad del Señor</t>
        </is>
      </c>
    </row>
    <row r="49">
      <c r="A49" t="inlineStr">
        <is>
          <t>Illes Balears</t>
        </is>
      </c>
      <c r="B49" s="29" t="n">
        <v>46388</v>
      </c>
      <c r="C49" t="inlineStr">
        <is>
          <t>Año Nuevo</t>
        </is>
      </c>
    </row>
    <row r="50">
      <c r="A50" t="inlineStr">
        <is>
          <t>Illes Balears</t>
        </is>
      </c>
      <c r="B50" s="29" t="n">
        <v>46393</v>
      </c>
      <c r="C50" t="inlineStr">
        <is>
          <t>Epifanía del Señor</t>
        </is>
      </c>
    </row>
    <row r="51">
      <c r="A51" t="inlineStr">
        <is>
          <t>Illes Balears</t>
        </is>
      </c>
      <c r="B51" s="29" t="n">
        <v>46447</v>
      </c>
      <c r="C51" t="inlineStr">
        <is>
          <t>Día de les Illes Balears</t>
        </is>
      </c>
    </row>
    <row r="52">
      <c r="A52" t="inlineStr">
        <is>
          <t>Illes Balears</t>
        </is>
      </c>
      <c r="B52" s="29" t="n">
        <v>46471</v>
      </c>
      <c r="C52" t="inlineStr">
        <is>
          <t>Jueves Santo</t>
        </is>
      </c>
    </row>
    <row r="53">
      <c r="A53" t="inlineStr">
        <is>
          <t>Illes Balears</t>
        </is>
      </c>
      <c r="B53" s="29" t="n">
        <v>46472</v>
      </c>
      <c r="C53" t="inlineStr">
        <is>
          <t>Viernes Santo</t>
        </is>
      </c>
    </row>
    <row r="54">
      <c r="A54" t="inlineStr">
        <is>
          <t>Illes Balears</t>
        </is>
      </c>
      <c r="B54" s="29" t="n">
        <v>46475</v>
      </c>
      <c r="C54" t="inlineStr">
        <is>
          <t>Lunes de Pascua</t>
        </is>
      </c>
    </row>
    <row r="55">
      <c r="A55" t="inlineStr">
        <is>
          <t>Illes Balears</t>
        </is>
      </c>
      <c r="B55" s="29" t="n">
        <v>46508</v>
      </c>
      <c r="C55" t="inlineStr">
        <is>
          <t>Fiesta del Trabajo</t>
        </is>
      </c>
    </row>
    <row r="56">
      <c r="A56" t="inlineStr">
        <is>
          <t>Illes Balears</t>
        </is>
      </c>
      <c r="B56" s="29" t="n">
        <v>46672</v>
      </c>
      <c r="C56" t="inlineStr">
        <is>
          <t>Fiesta Nacional de España</t>
        </is>
      </c>
    </row>
    <row r="57">
      <c r="A57" t="inlineStr">
        <is>
          <t>Illes Balears</t>
        </is>
      </c>
      <c r="B57" s="29" t="n">
        <v>46692</v>
      </c>
      <c r="C57" t="inlineStr">
        <is>
          <t>Todos los Santos</t>
        </is>
      </c>
    </row>
    <row r="58">
      <c r="A58" t="inlineStr">
        <is>
          <t>Illes Balears</t>
        </is>
      </c>
      <c r="B58" s="29" t="n">
        <v>46727</v>
      </c>
      <c r="C58" t="inlineStr">
        <is>
          <t>Día de la Constitución Española</t>
        </is>
      </c>
    </row>
    <row r="59">
      <c r="A59" t="inlineStr">
        <is>
          <t>Illes Balears</t>
        </is>
      </c>
      <c r="B59" s="29" t="n">
        <v>46729</v>
      </c>
      <c r="C59" t="inlineStr">
        <is>
          <t>Inmaculada Concepción</t>
        </is>
      </c>
    </row>
    <row r="60">
      <c r="A60" t="inlineStr">
        <is>
          <t>Illes Balears</t>
        </is>
      </c>
      <c r="B60" s="29" t="n">
        <v>46746</v>
      </c>
      <c r="C60" t="inlineStr">
        <is>
          <t>Natividad del Señor</t>
        </is>
      </c>
    </row>
    <row r="61">
      <c r="A61" t="inlineStr">
        <is>
          <t>Canarias</t>
        </is>
      </c>
      <c r="B61" s="29" t="n">
        <v>46388</v>
      </c>
      <c r="C61" t="inlineStr">
        <is>
          <t>Año Nuevo</t>
        </is>
      </c>
    </row>
    <row r="62">
      <c r="A62" t="inlineStr">
        <is>
          <t>Canarias</t>
        </is>
      </c>
      <c r="B62" s="29" t="n">
        <v>46393</v>
      </c>
      <c r="C62" t="inlineStr">
        <is>
          <t>Epifanía del Señor</t>
        </is>
      </c>
    </row>
    <row r="63">
      <c r="A63" t="inlineStr">
        <is>
          <t>Canarias</t>
        </is>
      </c>
      <c r="B63" s="29" t="n">
        <v>46471</v>
      </c>
      <c r="C63" t="inlineStr">
        <is>
          <t>Jueves Santo</t>
        </is>
      </c>
    </row>
    <row r="64">
      <c r="A64" t="inlineStr">
        <is>
          <t>Canarias</t>
        </is>
      </c>
      <c r="B64" s="29" t="n">
        <v>46472</v>
      </c>
      <c r="C64" t="inlineStr">
        <is>
          <t>Viernes Santo</t>
        </is>
      </c>
    </row>
    <row r="65">
      <c r="A65" t="inlineStr">
        <is>
          <t>Canarias</t>
        </is>
      </c>
      <c r="B65" s="29" t="n">
        <v>46508</v>
      </c>
      <c r="C65" t="inlineStr">
        <is>
          <t>Fiesta del Trabajo</t>
        </is>
      </c>
    </row>
    <row r="66">
      <c r="A66" t="inlineStr">
        <is>
          <t>Canarias</t>
        </is>
      </c>
      <c r="B66" s="29" t="n">
        <v>46615</v>
      </c>
      <c r="C66" t="inlineStr">
        <is>
          <t>Lunes siguiente a la Asunción de la Virgen</t>
        </is>
      </c>
    </row>
    <row r="67">
      <c r="A67" t="inlineStr">
        <is>
          <t>Canarias</t>
        </is>
      </c>
      <c r="B67" s="29" t="n">
        <v>46672</v>
      </c>
      <c r="C67" t="inlineStr">
        <is>
          <t>Fiesta Nacional de España</t>
        </is>
      </c>
    </row>
    <row r="68">
      <c r="A68" t="inlineStr">
        <is>
          <t>Canarias</t>
        </is>
      </c>
      <c r="B68" s="29" t="n">
        <v>46692</v>
      </c>
      <c r="C68" t="inlineStr">
        <is>
          <t>Todos los Santos</t>
        </is>
      </c>
    </row>
    <row r="69">
      <c r="A69" t="inlineStr">
        <is>
          <t>Canarias</t>
        </is>
      </c>
      <c r="B69" s="29" t="n">
        <v>46727</v>
      </c>
      <c r="C69" t="inlineStr">
        <is>
          <t>Día de la Constitución Española</t>
        </is>
      </c>
    </row>
    <row r="70">
      <c r="A70" t="inlineStr">
        <is>
          <t>Canarias</t>
        </is>
      </c>
      <c r="B70" s="29" t="n">
        <v>46729</v>
      </c>
      <c r="C70" t="inlineStr">
        <is>
          <t>Inmaculada Concepción</t>
        </is>
      </c>
    </row>
    <row r="71">
      <c r="A71" t="inlineStr">
        <is>
          <t>Canarias</t>
        </is>
      </c>
      <c r="B71" s="29" t="n">
        <v>46746</v>
      </c>
      <c r="C71" t="inlineStr">
        <is>
          <t>Natividad del Señor</t>
        </is>
      </c>
    </row>
    <row r="72">
      <c r="A72" t="inlineStr">
        <is>
          <t>Cantabria</t>
        </is>
      </c>
      <c r="B72" s="29" t="n">
        <v>46388</v>
      </c>
      <c r="C72" t="inlineStr">
        <is>
          <t>Año Nuevo</t>
        </is>
      </c>
    </row>
    <row r="73">
      <c r="A73" t="inlineStr">
        <is>
          <t>Cantabria</t>
        </is>
      </c>
      <c r="B73" s="29" t="n">
        <v>46393</v>
      </c>
      <c r="C73" t="inlineStr">
        <is>
          <t>Epifanía del Señor</t>
        </is>
      </c>
    </row>
    <row r="74">
      <c r="A74" t="inlineStr">
        <is>
          <t>Cantabria</t>
        </is>
      </c>
      <c r="B74" s="29" t="n">
        <v>46471</v>
      </c>
      <c r="C74" t="inlineStr">
        <is>
          <t>Jueves Santo</t>
        </is>
      </c>
    </row>
    <row r="75">
      <c r="A75" t="inlineStr">
        <is>
          <t>Cantabria</t>
        </is>
      </c>
      <c r="B75" s="29" t="n">
        <v>46472</v>
      </c>
      <c r="C75" t="inlineStr">
        <is>
          <t>Viernes Santo</t>
        </is>
      </c>
    </row>
    <row r="76">
      <c r="A76" t="inlineStr">
        <is>
          <t>Cantabria</t>
        </is>
      </c>
      <c r="B76" s="29" t="n">
        <v>46508</v>
      </c>
      <c r="C76" t="inlineStr">
        <is>
          <t>Fiesta del Trabajo</t>
        </is>
      </c>
    </row>
    <row r="77">
      <c r="A77" t="inlineStr">
        <is>
          <t>Cantabria</t>
        </is>
      </c>
      <c r="B77" s="29" t="n">
        <v>46596</v>
      </c>
      <c r="C77" t="inlineStr">
        <is>
          <t>Día de las Instituciones de Cantabria</t>
        </is>
      </c>
    </row>
    <row r="78">
      <c r="A78" t="inlineStr">
        <is>
          <t>Cantabria</t>
        </is>
      </c>
      <c r="B78" s="29" t="n">
        <v>46645</v>
      </c>
      <c r="C78" t="inlineStr">
        <is>
          <t>La Bien Aparecida</t>
        </is>
      </c>
    </row>
    <row r="79">
      <c r="A79" t="inlineStr">
        <is>
          <t>Cantabria</t>
        </is>
      </c>
      <c r="B79" s="29" t="n">
        <v>46672</v>
      </c>
      <c r="C79" t="inlineStr">
        <is>
          <t>Fiesta Nacional de España</t>
        </is>
      </c>
    </row>
    <row r="80">
      <c r="A80" t="inlineStr">
        <is>
          <t>Cantabria</t>
        </is>
      </c>
      <c r="B80" s="29" t="n">
        <v>46692</v>
      </c>
      <c r="C80" t="inlineStr">
        <is>
          <t>Todos los Santos</t>
        </is>
      </c>
    </row>
    <row r="81">
      <c r="A81" t="inlineStr">
        <is>
          <t>Cantabria</t>
        </is>
      </c>
      <c r="B81" s="29" t="n">
        <v>46727</v>
      </c>
      <c r="C81" t="inlineStr">
        <is>
          <t>Día de la Constitución Española</t>
        </is>
      </c>
    </row>
    <row r="82">
      <c r="A82" t="inlineStr">
        <is>
          <t>Cantabria</t>
        </is>
      </c>
      <c r="B82" s="29" t="n">
        <v>46729</v>
      </c>
      <c r="C82" t="inlineStr">
        <is>
          <t>Inmaculada Concepción</t>
        </is>
      </c>
    </row>
    <row r="83">
      <c r="A83" t="inlineStr">
        <is>
          <t>Cantabria</t>
        </is>
      </c>
      <c r="B83" s="29" t="n">
        <v>46746</v>
      </c>
      <c r="C83" t="inlineStr">
        <is>
          <t>Natividad del Señor</t>
        </is>
      </c>
    </row>
    <row r="84">
      <c r="A84" t="inlineStr">
        <is>
          <t>Castilla-La Mancha</t>
        </is>
      </c>
      <c r="B84" s="29" t="n">
        <v>46388</v>
      </c>
      <c r="C84" t="inlineStr">
        <is>
          <t>Año Nuevo</t>
        </is>
      </c>
    </row>
    <row r="85">
      <c r="A85" t="inlineStr">
        <is>
          <t>Castilla-La Mancha</t>
        </is>
      </c>
      <c r="B85" s="29" t="n">
        <v>46393</v>
      </c>
      <c r="C85" t="inlineStr">
        <is>
          <t>Epifanía del Señor</t>
        </is>
      </c>
    </row>
    <row r="86">
      <c r="A86" t="inlineStr">
        <is>
          <t>Castilla-La Mancha</t>
        </is>
      </c>
      <c r="B86" s="29" t="n">
        <v>46471</v>
      </c>
      <c r="C86" t="inlineStr">
        <is>
          <t>Jueves Santo</t>
        </is>
      </c>
    </row>
    <row r="87">
      <c r="A87" t="inlineStr">
        <is>
          <t>Castilla-La Mancha</t>
        </is>
      </c>
      <c r="B87" s="29" t="n">
        <v>46472</v>
      </c>
      <c r="C87" t="inlineStr">
        <is>
          <t>Viernes Santo</t>
        </is>
      </c>
    </row>
    <row r="88">
      <c r="A88" t="inlineStr">
        <is>
          <t>Castilla-La Mancha</t>
        </is>
      </c>
      <c r="B88" s="29" t="n">
        <v>46508</v>
      </c>
      <c r="C88" t="inlineStr">
        <is>
          <t>Fiesta del Trabajo</t>
        </is>
      </c>
    </row>
    <row r="89">
      <c r="A89" t="inlineStr">
        <is>
          <t>Castilla-La Mancha</t>
        </is>
      </c>
      <c r="B89" s="29" t="n">
        <v>46534</v>
      </c>
      <c r="C89" t="inlineStr">
        <is>
          <t>Corpus Christi</t>
        </is>
      </c>
    </row>
    <row r="90">
      <c r="A90" t="inlineStr">
        <is>
          <t>Castilla-La Mancha</t>
        </is>
      </c>
      <c r="B90" s="29" t="n">
        <v>46538</v>
      </c>
      <c r="C90" t="inlineStr">
        <is>
          <t>Día de Castilla-La Mancha</t>
        </is>
      </c>
    </row>
    <row r="91">
      <c r="A91" t="inlineStr">
        <is>
          <t>Castilla-La Mancha</t>
        </is>
      </c>
      <c r="B91" s="29" t="n">
        <v>46672</v>
      </c>
      <c r="C91" t="inlineStr">
        <is>
          <t>Fiesta Nacional de España</t>
        </is>
      </c>
    </row>
    <row r="92">
      <c r="A92" t="inlineStr">
        <is>
          <t>Castilla-La Mancha</t>
        </is>
      </c>
      <c r="B92" s="29" t="n">
        <v>46692</v>
      </c>
      <c r="C92" t="inlineStr">
        <is>
          <t>Todos los Santos</t>
        </is>
      </c>
    </row>
    <row r="93">
      <c r="A93" t="inlineStr">
        <is>
          <t>Castilla-La Mancha</t>
        </is>
      </c>
      <c r="B93" s="29" t="n">
        <v>46727</v>
      </c>
      <c r="C93" t="inlineStr">
        <is>
          <t>Día de la Constitución Española</t>
        </is>
      </c>
    </row>
    <row r="94">
      <c r="A94" t="inlineStr">
        <is>
          <t>Castilla-La Mancha</t>
        </is>
      </c>
      <c r="B94" s="29" t="n">
        <v>46729</v>
      </c>
      <c r="C94" t="inlineStr">
        <is>
          <t>Inmaculada Concepción</t>
        </is>
      </c>
    </row>
    <row r="95">
      <c r="A95" t="inlineStr">
        <is>
          <t>Castilla-La Mancha</t>
        </is>
      </c>
      <c r="B95" s="29" t="n">
        <v>46746</v>
      </c>
      <c r="C95" t="inlineStr">
        <is>
          <t>Natividad del Señor</t>
        </is>
      </c>
    </row>
    <row r="96">
      <c r="A96" t="inlineStr">
        <is>
          <t>Castilla y León</t>
        </is>
      </c>
      <c r="B96" s="29" t="n">
        <v>46388</v>
      </c>
      <c r="C96" t="inlineStr">
        <is>
          <t>Año Nuevo</t>
        </is>
      </c>
    </row>
    <row r="97">
      <c r="A97" t="inlineStr">
        <is>
          <t>Castilla y León</t>
        </is>
      </c>
      <c r="B97" s="29" t="n">
        <v>46393</v>
      </c>
      <c r="C97" t="inlineStr">
        <is>
          <t>Epifanía del Señor</t>
        </is>
      </c>
    </row>
    <row r="98">
      <c r="A98" t="inlineStr">
        <is>
          <t>Castilla y León</t>
        </is>
      </c>
      <c r="B98" s="29" t="n">
        <v>46471</v>
      </c>
      <c r="C98" t="inlineStr">
        <is>
          <t>Jueves Santo</t>
        </is>
      </c>
    </row>
    <row r="99">
      <c r="A99" t="inlineStr">
        <is>
          <t>Castilla y León</t>
        </is>
      </c>
      <c r="B99" s="29" t="n">
        <v>46472</v>
      </c>
      <c r="C99" t="inlineStr">
        <is>
          <t>Viernes Santo</t>
        </is>
      </c>
    </row>
    <row r="100">
      <c r="A100" t="inlineStr">
        <is>
          <t>Castilla y León</t>
        </is>
      </c>
      <c r="B100" s="29" t="n">
        <v>46500</v>
      </c>
      <c r="C100" t="inlineStr">
        <is>
          <t>Fiesta de Castilla y León</t>
        </is>
      </c>
    </row>
    <row r="101">
      <c r="A101" t="inlineStr">
        <is>
          <t>Castilla y León</t>
        </is>
      </c>
      <c r="B101" s="29" t="n">
        <v>46508</v>
      </c>
      <c r="C101" t="inlineStr">
        <is>
          <t>Fiesta del Trabajo</t>
        </is>
      </c>
    </row>
    <row r="102">
      <c r="A102" t="inlineStr">
        <is>
          <t>Castilla y León</t>
        </is>
      </c>
      <c r="B102" s="29" t="n">
        <v>46615</v>
      </c>
      <c r="C102" t="inlineStr">
        <is>
          <t>Lunes siguiente a la Asunción de la Virgen</t>
        </is>
      </c>
    </row>
    <row r="103">
      <c r="A103" t="inlineStr">
        <is>
          <t>Castilla y León</t>
        </is>
      </c>
      <c r="B103" s="29" t="n">
        <v>46672</v>
      </c>
      <c r="C103" t="inlineStr">
        <is>
          <t>Fiesta Nacional de España</t>
        </is>
      </c>
    </row>
    <row r="104">
      <c r="A104" t="inlineStr">
        <is>
          <t>Castilla y León</t>
        </is>
      </c>
      <c r="B104" s="29" t="n">
        <v>46692</v>
      </c>
      <c r="C104" t="inlineStr">
        <is>
          <t>Todos los Santos</t>
        </is>
      </c>
    </row>
    <row r="105">
      <c r="A105" t="inlineStr">
        <is>
          <t>Castilla y León</t>
        </is>
      </c>
      <c r="B105" s="29" t="n">
        <v>46727</v>
      </c>
      <c r="C105" t="inlineStr">
        <is>
          <t>Día de la Constitución Española</t>
        </is>
      </c>
    </row>
    <row r="106">
      <c r="A106" t="inlineStr">
        <is>
          <t>Castilla y León</t>
        </is>
      </c>
      <c r="B106" s="29" t="n">
        <v>46729</v>
      </c>
      <c r="C106" t="inlineStr">
        <is>
          <t>Inmaculada Concepción</t>
        </is>
      </c>
    </row>
    <row r="107">
      <c r="A107" t="inlineStr">
        <is>
          <t>Castilla y León</t>
        </is>
      </c>
      <c r="B107" s="29" t="n">
        <v>46746</v>
      </c>
      <c r="C107" t="inlineStr">
        <is>
          <t>Natividad del Señor</t>
        </is>
      </c>
    </row>
    <row r="108">
      <c r="A108" t="inlineStr">
        <is>
          <t>Cataluña</t>
        </is>
      </c>
      <c r="B108" s="29" t="n">
        <v>46388</v>
      </c>
      <c r="C108" t="inlineStr">
        <is>
          <t>Año Nuevo</t>
        </is>
      </c>
    </row>
    <row r="109">
      <c r="A109" t="inlineStr">
        <is>
          <t>Cataluña</t>
        </is>
      </c>
      <c r="B109" s="29" t="n">
        <v>46393</v>
      </c>
      <c r="C109" t="inlineStr">
        <is>
          <t>Epifanía del Señor</t>
        </is>
      </c>
    </row>
    <row r="110">
      <c r="A110" t="inlineStr">
        <is>
          <t>Cataluña</t>
        </is>
      </c>
      <c r="B110" s="29" t="n">
        <v>46472</v>
      </c>
      <c r="C110" t="inlineStr">
        <is>
          <t>Viernes Santo</t>
        </is>
      </c>
    </row>
    <row r="111">
      <c r="A111" t="inlineStr">
        <is>
          <t>Cataluña</t>
        </is>
      </c>
      <c r="B111" s="29" t="n">
        <v>46475</v>
      </c>
      <c r="C111" t="inlineStr">
        <is>
          <t>Lunes de Pascua</t>
        </is>
      </c>
    </row>
    <row r="112">
      <c r="A112" t="inlineStr">
        <is>
          <t>Cataluña</t>
        </is>
      </c>
      <c r="B112" s="29" t="n">
        <v>46508</v>
      </c>
      <c r="C112" t="inlineStr">
        <is>
          <t>Fiesta del Trabajo</t>
        </is>
      </c>
    </row>
    <row r="113">
      <c r="A113" t="inlineStr">
        <is>
          <t>Cataluña</t>
        </is>
      </c>
      <c r="B113" s="29" t="n">
        <v>46562</v>
      </c>
      <c r="C113" t="inlineStr">
        <is>
          <t>Día de San Juan</t>
        </is>
      </c>
    </row>
    <row r="114">
      <c r="A114" t="inlineStr">
        <is>
          <t>Cataluña</t>
        </is>
      </c>
      <c r="B114" s="29" t="n">
        <v>46641</v>
      </c>
      <c r="C114" t="inlineStr">
        <is>
          <t>Fiesta Nacional de Cataluña</t>
        </is>
      </c>
    </row>
    <row r="115">
      <c r="A115" t="inlineStr">
        <is>
          <t>Cataluña</t>
        </is>
      </c>
      <c r="B115" s="29" t="n">
        <v>46672</v>
      </c>
      <c r="C115" t="inlineStr">
        <is>
          <t>Fiesta Nacional de España</t>
        </is>
      </c>
    </row>
    <row r="116">
      <c r="A116" t="inlineStr">
        <is>
          <t>Cataluña</t>
        </is>
      </c>
      <c r="B116" s="29" t="n">
        <v>46692</v>
      </c>
      <c r="C116" t="inlineStr">
        <is>
          <t>Todos los Santos</t>
        </is>
      </c>
    </row>
    <row r="117">
      <c r="A117" t="inlineStr">
        <is>
          <t>Cataluña</t>
        </is>
      </c>
      <c r="B117" s="29" t="n">
        <v>46727</v>
      </c>
      <c r="C117" t="inlineStr">
        <is>
          <t>Día de la Constitución Española</t>
        </is>
      </c>
    </row>
    <row r="118">
      <c r="A118" t="inlineStr">
        <is>
          <t>Cataluña</t>
        </is>
      </c>
      <c r="B118" s="29" t="n">
        <v>46729</v>
      </c>
      <c r="C118" t="inlineStr">
        <is>
          <t>Inmaculada Concepción</t>
        </is>
      </c>
    </row>
    <row r="119">
      <c r="A119" t="inlineStr">
        <is>
          <t>Cataluña</t>
        </is>
      </c>
      <c r="B119" s="29" t="n">
        <v>46746</v>
      </c>
      <c r="C119" t="inlineStr">
        <is>
          <t>Natividad del Señor</t>
        </is>
      </c>
    </row>
    <row r="120">
      <c r="A120" t="inlineStr">
        <is>
          <t>Extremadura</t>
        </is>
      </c>
      <c r="B120" s="29" t="n">
        <v>46388</v>
      </c>
      <c r="C120" t="inlineStr">
        <is>
          <t>Año Nuevo</t>
        </is>
      </c>
    </row>
    <row r="121">
      <c r="A121" t="inlineStr">
        <is>
          <t>Extremadura</t>
        </is>
      </c>
      <c r="B121" s="29" t="n">
        <v>46393</v>
      </c>
      <c r="C121" t="inlineStr">
        <is>
          <t>Epifanía del Señor</t>
        </is>
      </c>
    </row>
    <row r="122">
      <c r="A122" t="inlineStr">
        <is>
          <t>Extremadura</t>
        </is>
      </c>
      <c r="B122" s="29" t="n">
        <v>46471</v>
      </c>
      <c r="C122" t="inlineStr">
        <is>
          <t>Jueves Santo</t>
        </is>
      </c>
    </row>
    <row r="123">
      <c r="A123" t="inlineStr">
        <is>
          <t>Extremadura</t>
        </is>
      </c>
      <c r="B123" s="29" t="n">
        <v>46472</v>
      </c>
      <c r="C123" t="inlineStr">
        <is>
          <t>Viernes Santo</t>
        </is>
      </c>
    </row>
    <row r="124">
      <c r="A124" t="inlineStr">
        <is>
          <t>Extremadura</t>
        </is>
      </c>
      <c r="B124" s="29" t="n">
        <v>46508</v>
      </c>
      <c r="C124" t="inlineStr">
        <is>
          <t>Fiesta del Trabajo</t>
        </is>
      </c>
    </row>
    <row r="125">
      <c r="A125" t="inlineStr">
        <is>
          <t>Extremadura</t>
        </is>
      </c>
      <c r="B125" s="29" t="n">
        <v>46638</v>
      </c>
      <c r="C125" t="inlineStr">
        <is>
          <t>Día de Extremadura</t>
        </is>
      </c>
    </row>
    <row r="126">
      <c r="A126" t="inlineStr">
        <is>
          <t>Extremadura</t>
        </is>
      </c>
      <c r="B126" s="29" t="n">
        <v>46671</v>
      </c>
      <c r="C126" t="inlineStr">
        <is>
          <t>Sustitución 15 de agosto</t>
        </is>
      </c>
    </row>
    <row r="127">
      <c r="A127" t="inlineStr">
        <is>
          <t>Extremadura</t>
        </is>
      </c>
      <c r="B127" s="29" t="n">
        <v>46672</v>
      </c>
      <c r="C127" t="inlineStr">
        <is>
          <t>Fiesta Nacional de España</t>
        </is>
      </c>
    </row>
    <row r="128">
      <c r="A128" t="inlineStr">
        <is>
          <t>Extremadura</t>
        </is>
      </c>
      <c r="B128" s="29" t="n">
        <v>46692</v>
      </c>
      <c r="C128" t="inlineStr">
        <is>
          <t>Todos los Santos</t>
        </is>
      </c>
    </row>
    <row r="129">
      <c r="A129" t="inlineStr">
        <is>
          <t>Extremadura</t>
        </is>
      </c>
      <c r="B129" s="29" t="n">
        <v>46727</v>
      </c>
      <c r="C129" t="inlineStr">
        <is>
          <t>Día de la Constitución Española</t>
        </is>
      </c>
    </row>
    <row r="130">
      <c r="A130" t="inlineStr">
        <is>
          <t>Extremadura</t>
        </is>
      </c>
      <c r="B130" s="29" t="n">
        <v>46729</v>
      </c>
      <c r="C130" t="inlineStr">
        <is>
          <t>Inmaculada Concepción</t>
        </is>
      </c>
    </row>
    <row r="131">
      <c r="A131" t="inlineStr">
        <is>
          <t>Extremadura</t>
        </is>
      </c>
      <c r="B131" s="29" t="n">
        <v>46746</v>
      </c>
      <c r="C131" t="inlineStr">
        <is>
          <t>Natividad del Señor</t>
        </is>
      </c>
    </row>
    <row r="132">
      <c r="A132" t="inlineStr">
        <is>
          <t>Galicia</t>
        </is>
      </c>
      <c r="B132" s="29" t="n">
        <v>46388</v>
      </c>
      <c r="C132" t="inlineStr">
        <is>
          <t>Año Nuevo</t>
        </is>
      </c>
    </row>
    <row r="133">
      <c r="A133" t="inlineStr">
        <is>
          <t>Galicia</t>
        </is>
      </c>
      <c r="B133" s="29" t="n">
        <v>46393</v>
      </c>
      <c r="C133" t="inlineStr">
        <is>
          <t>Epifanía del Señor</t>
        </is>
      </c>
    </row>
    <row r="134">
      <c r="A134" t="inlineStr">
        <is>
          <t>Galicia</t>
        </is>
      </c>
      <c r="B134" s="29" t="n">
        <v>46465</v>
      </c>
      <c r="C134" t="inlineStr">
        <is>
          <t>San José</t>
        </is>
      </c>
    </row>
    <row r="135">
      <c r="A135" t="inlineStr">
        <is>
          <t>Galicia</t>
        </is>
      </c>
      <c r="B135" s="29" t="n">
        <v>46471</v>
      </c>
      <c r="C135" t="inlineStr">
        <is>
          <t>Jueves Santo</t>
        </is>
      </c>
    </row>
    <row r="136">
      <c r="A136" t="inlineStr">
        <is>
          <t>Galicia</t>
        </is>
      </c>
      <c r="B136" s="29" t="n">
        <v>46472</v>
      </c>
      <c r="C136" t="inlineStr">
        <is>
          <t>Viernes Santo</t>
        </is>
      </c>
    </row>
    <row r="137">
      <c r="A137" t="inlineStr">
        <is>
          <t>Galicia</t>
        </is>
      </c>
      <c r="B137" s="29" t="n">
        <v>46508</v>
      </c>
      <c r="C137" t="inlineStr">
        <is>
          <t>Fiesta del Trabajo</t>
        </is>
      </c>
    </row>
    <row r="138">
      <c r="A138" t="inlineStr">
        <is>
          <t>Galicia</t>
        </is>
      </c>
      <c r="B138" s="29" t="n">
        <v>46524</v>
      </c>
      <c r="C138" t="inlineStr">
        <is>
          <t>Día de las Letras Gallegas</t>
        </is>
      </c>
    </row>
    <row r="139">
      <c r="A139" t="inlineStr">
        <is>
          <t>Galicia</t>
        </is>
      </c>
      <c r="B139" s="29" t="n">
        <v>46672</v>
      </c>
      <c r="C139" t="inlineStr">
        <is>
          <t>Fiesta Nacional de España</t>
        </is>
      </c>
    </row>
    <row r="140">
      <c r="A140" t="inlineStr">
        <is>
          <t>Galicia</t>
        </is>
      </c>
      <c r="B140" s="29" t="n">
        <v>46692</v>
      </c>
      <c r="C140" t="inlineStr">
        <is>
          <t>Todos los Santos</t>
        </is>
      </c>
    </row>
    <row r="141">
      <c r="A141" t="inlineStr">
        <is>
          <t>Galicia</t>
        </is>
      </c>
      <c r="B141" s="29" t="n">
        <v>46727</v>
      </c>
      <c r="C141" t="inlineStr">
        <is>
          <t>Día de la Constitución Española</t>
        </is>
      </c>
    </row>
    <row r="142">
      <c r="A142" t="inlineStr">
        <is>
          <t>Galicia</t>
        </is>
      </c>
      <c r="B142" s="29" t="n">
        <v>46729</v>
      </c>
      <c r="C142" t="inlineStr">
        <is>
          <t>Inmaculada Concepción</t>
        </is>
      </c>
    </row>
    <row r="143">
      <c r="A143" t="inlineStr">
        <is>
          <t>Galicia</t>
        </is>
      </c>
      <c r="B143" s="29" t="n">
        <v>46746</v>
      </c>
      <c r="C143" t="inlineStr">
        <is>
          <t>Natividad del Señor</t>
        </is>
      </c>
    </row>
    <row r="144">
      <c r="A144" t="inlineStr">
        <is>
          <t>Comunidad de Madrid</t>
        </is>
      </c>
      <c r="B144" s="29" t="n">
        <v>46388</v>
      </c>
      <c r="C144" t="inlineStr">
        <is>
          <t>Año Nuevo</t>
        </is>
      </c>
    </row>
    <row r="145">
      <c r="A145" t="inlineStr">
        <is>
          <t>Comunidad de Madrid</t>
        </is>
      </c>
      <c r="B145" s="29" t="n">
        <v>46393</v>
      </c>
      <c r="C145" t="inlineStr">
        <is>
          <t>Epifanía del Señor</t>
        </is>
      </c>
    </row>
    <row r="146">
      <c r="A146" t="inlineStr">
        <is>
          <t>Comunidad de Madrid</t>
        </is>
      </c>
      <c r="B146" s="29" t="n">
        <v>46465</v>
      </c>
      <c r="C146" t="inlineStr">
        <is>
          <t>San José</t>
        </is>
      </c>
    </row>
    <row r="147">
      <c r="A147" t="inlineStr">
        <is>
          <t>Comunidad de Madrid</t>
        </is>
      </c>
      <c r="B147" s="29" t="n">
        <v>46471</v>
      </c>
      <c r="C147" t="inlineStr">
        <is>
          <t>Jueves Santo</t>
        </is>
      </c>
    </row>
    <row r="148">
      <c r="A148" t="inlineStr">
        <is>
          <t>Comunidad de Madrid</t>
        </is>
      </c>
      <c r="B148" s="29" t="n">
        <v>46472</v>
      </c>
      <c r="C148" t="inlineStr">
        <is>
          <t>Viernes Santo</t>
        </is>
      </c>
    </row>
    <row r="149">
      <c r="A149" t="inlineStr">
        <is>
          <t>Comunidad de Madrid</t>
        </is>
      </c>
      <c r="B149" s="29" t="n">
        <v>46508</v>
      </c>
      <c r="C149" t="inlineStr">
        <is>
          <t>Fiesta del Trabajo</t>
        </is>
      </c>
    </row>
    <row r="150">
      <c r="A150" t="inlineStr">
        <is>
          <t>Comunidad de Madrid</t>
        </is>
      </c>
      <c r="B150" s="29" t="n">
        <v>46615</v>
      </c>
      <c r="C150" t="inlineStr">
        <is>
          <t>Lunes siguiente a la Asunción de la Virgen</t>
        </is>
      </c>
    </row>
    <row r="151">
      <c r="A151" t="inlineStr">
        <is>
          <t>Comunidad de Madrid</t>
        </is>
      </c>
      <c r="B151" s="29" t="n">
        <v>46672</v>
      </c>
      <c r="C151" t="inlineStr">
        <is>
          <t>Fiesta Nacional de España</t>
        </is>
      </c>
    </row>
    <row r="152">
      <c r="A152" t="inlineStr">
        <is>
          <t>Comunidad de Madrid</t>
        </is>
      </c>
      <c r="B152" s="29" t="n">
        <v>46692</v>
      </c>
      <c r="C152" t="inlineStr">
        <is>
          <t>Todos los Santos</t>
        </is>
      </c>
    </row>
    <row r="153">
      <c r="A153" t="inlineStr">
        <is>
          <t>Comunidad de Madrid</t>
        </is>
      </c>
      <c r="B153" s="29" t="n">
        <v>46727</v>
      </c>
      <c r="C153" t="inlineStr">
        <is>
          <t>Día de la Constitución Española</t>
        </is>
      </c>
    </row>
    <row r="154">
      <c r="A154" t="inlineStr">
        <is>
          <t>Comunidad de Madrid</t>
        </is>
      </c>
      <c r="B154" s="29" t="n">
        <v>46729</v>
      </c>
      <c r="C154" t="inlineStr">
        <is>
          <t>Inmaculada Concepción</t>
        </is>
      </c>
    </row>
    <row r="155">
      <c r="A155" t="inlineStr">
        <is>
          <t>Comunidad de Madrid</t>
        </is>
      </c>
      <c r="B155" s="29" t="n">
        <v>46746</v>
      </c>
      <c r="C155" t="inlineStr">
        <is>
          <t>Natividad del Señor</t>
        </is>
      </c>
    </row>
    <row r="156">
      <c r="A156" t="inlineStr">
        <is>
          <t>Región de Murcia</t>
        </is>
      </c>
      <c r="B156" s="29" t="n">
        <v>46388</v>
      </c>
      <c r="C156" t="inlineStr">
        <is>
          <t>Año Nuevo</t>
        </is>
      </c>
    </row>
    <row r="157">
      <c r="A157" t="inlineStr">
        <is>
          <t>Región de Murcia</t>
        </is>
      </c>
      <c r="B157" s="29" t="n">
        <v>46393</v>
      </c>
      <c r="C157" t="inlineStr">
        <is>
          <t>Epifanía del Señor</t>
        </is>
      </c>
    </row>
    <row r="158">
      <c r="A158" t="inlineStr">
        <is>
          <t>Región de Murcia</t>
        </is>
      </c>
      <c r="B158" s="29" t="n">
        <v>46465</v>
      </c>
      <c r="C158" t="inlineStr">
        <is>
          <t>San José</t>
        </is>
      </c>
    </row>
    <row r="159">
      <c r="A159" t="inlineStr">
        <is>
          <t>Región de Murcia</t>
        </is>
      </c>
      <c r="B159" s="29" t="n">
        <v>46471</v>
      </c>
      <c r="C159" t="inlineStr">
        <is>
          <t>Jueves Santo</t>
        </is>
      </c>
    </row>
    <row r="160">
      <c r="A160" t="inlineStr">
        <is>
          <t>Región de Murcia</t>
        </is>
      </c>
      <c r="B160" s="29" t="n">
        <v>46472</v>
      </c>
      <c r="C160" t="inlineStr">
        <is>
          <t>Viernes Santo</t>
        </is>
      </c>
    </row>
    <row r="161">
      <c r="A161" t="inlineStr">
        <is>
          <t>Región de Murcia</t>
        </is>
      </c>
      <c r="B161" s="29" t="n">
        <v>46508</v>
      </c>
      <c r="C161" t="inlineStr">
        <is>
          <t>Fiesta del Trabajo</t>
        </is>
      </c>
    </row>
    <row r="162">
      <c r="A162" t="inlineStr">
        <is>
          <t>Región de Murcia</t>
        </is>
      </c>
      <c r="B162" s="29" t="n">
        <v>46547</v>
      </c>
      <c r="C162" t="inlineStr">
        <is>
          <t>Día de la Región de Murcia</t>
        </is>
      </c>
    </row>
    <row r="163">
      <c r="A163" t="inlineStr">
        <is>
          <t>Región de Murcia</t>
        </is>
      </c>
      <c r="B163" s="29" t="n">
        <v>46672</v>
      </c>
      <c r="C163" t="inlineStr">
        <is>
          <t>Fiesta Nacional de España</t>
        </is>
      </c>
    </row>
    <row r="164">
      <c r="A164" t="inlineStr">
        <is>
          <t>Región de Murcia</t>
        </is>
      </c>
      <c r="B164" s="29" t="n">
        <v>46692</v>
      </c>
      <c r="C164" t="inlineStr">
        <is>
          <t>Todos los Santos</t>
        </is>
      </c>
    </row>
    <row r="165">
      <c r="A165" t="inlineStr">
        <is>
          <t>Región de Murcia</t>
        </is>
      </c>
      <c r="B165" s="29" t="n">
        <v>46727</v>
      </c>
      <c r="C165" t="inlineStr">
        <is>
          <t>Día de la Constitución Española</t>
        </is>
      </c>
    </row>
    <row r="166">
      <c r="A166" t="inlineStr">
        <is>
          <t>Región de Murcia</t>
        </is>
      </c>
      <c r="B166" s="29" t="n">
        <v>46729</v>
      </c>
      <c r="C166" t="inlineStr">
        <is>
          <t>Inmaculada Concepción</t>
        </is>
      </c>
    </row>
    <row r="167">
      <c r="A167" t="inlineStr">
        <is>
          <t>Región de Murcia</t>
        </is>
      </c>
      <c r="B167" s="29" t="n">
        <v>46746</v>
      </c>
      <c r="C167" t="inlineStr">
        <is>
          <t>Natividad del Señor</t>
        </is>
      </c>
    </row>
    <row r="168">
      <c r="A168" t="inlineStr">
        <is>
          <t>Comunidad Foral de Navarra</t>
        </is>
      </c>
      <c r="B168" s="29" t="n">
        <v>46388</v>
      </c>
      <c r="C168" t="inlineStr">
        <is>
          <t>Año Nuevo</t>
        </is>
      </c>
    </row>
    <row r="169">
      <c r="A169" t="inlineStr">
        <is>
          <t>Comunidad Foral de Navarra</t>
        </is>
      </c>
      <c r="B169" s="29" t="n">
        <v>46393</v>
      </c>
      <c r="C169" t="inlineStr">
        <is>
          <t>Epifanía del Señor</t>
        </is>
      </c>
    </row>
    <row r="170">
      <c r="A170" t="inlineStr">
        <is>
          <t>Comunidad Foral de Navarra</t>
        </is>
      </c>
      <c r="B170" s="29" t="n">
        <v>46465</v>
      </c>
      <c r="C170" t="inlineStr">
        <is>
          <t>San José</t>
        </is>
      </c>
    </row>
    <row r="171">
      <c r="A171" t="inlineStr">
        <is>
          <t>Comunidad Foral de Navarra</t>
        </is>
      </c>
      <c r="B171" s="29" t="n">
        <v>46471</v>
      </c>
      <c r="C171" t="inlineStr">
        <is>
          <t>Jueves Santo</t>
        </is>
      </c>
    </row>
    <row r="172">
      <c r="A172" t="inlineStr">
        <is>
          <t>Comunidad Foral de Navarra</t>
        </is>
      </c>
      <c r="B172" s="29" t="n">
        <v>46472</v>
      </c>
      <c r="C172" t="inlineStr">
        <is>
          <t>Viernes Santo</t>
        </is>
      </c>
    </row>
    <row r="173">
      <c r="A173" t="inlineStr">
        <is>
          <t>Comunidad Foral de Navarra</t>
        </is>
      </c>
      <c r="B173" s="29" t="n">
        <v>46475</v>
      </c>
      <c r="C173" t="inlineStr">
        <is>
          <t>Lunes de Pascua</t>
        </is>
      </c>
    </row>
    <row r="174">
      <c r="A174" t="inlineStr">
        <is>
          <t>Comunidad Foral de Navarra</t>
        </is>
      </c>
      <c r="B174" s="29" t="n">
        <v>46508</v>
      </c>
      <c r="C174" t="inlineStr">
        <is>
          <t>Fiesta del Trabajo</t>
        </is>
      </c>
    </row>
    <row r="175">
      <c r="A175" t="inlineStr">
        <is>
          <t>Comunidad Foral de Navarra</t>
        </is>
      </c>
      <c r="B175" s="29" t="n">
        <v>46672</v>
      </c>
      <c r="C175" t="inlineStr">
        <is>
          <t>Fiesta Nacional de España</t>
        </is>
      </c>
    </row>
    <row r="176">
      <c r="A176" t="inlineStr">
        <is>
          <t>Comunidad Foral de Navarra</t>
        </is>
      </c>
      <c r="B176" s="29" t="n">
        <v>46692</v>
      </c>
      <c r="C176" t="inlineStr">
        <is>
          <t>Todos los Santos</t>
        </is>
      </c>
    </row>
    <row r="177">
      <c r="A177" t="inlineStr">
        <is>
          <t>Comunidad Foral de Navarra</t>
        </is>
      </c>
      <c r="B177" s="29" t="n">
        <v>46727</v>
      </c>
      <c r="C177" t="inlineStr">
        <is>
          <t>Día de la Constitución Española</t>
        </is>
      </c>
    </row>
    <row r="178">
      <c r="A178" t="inlineStr">
        <is>
          <t>Comunidad Foral de Navarra</t>
        </is>
      </c>
      <c r="B178" s="29" t="n">
        <v>46729</v>
      </c>
      <c r="C178" t="inlineStr">
        <is>
          <t>Inmaculada Concepción</t>
        </is>
      </c>
    </row>
    <row r="179">
      <c r="A179" t="inlineStr">
        <is>
          <t>Comunidad Foral de Navarra</t>
        </is>
      </c>
      <c r="B179" s="29" t="n">
        <v>46746</v>
      </c>
      <c r="C179" t="inlineStr">
        <is>
          <t>Natividad del Señor</t>
        </is>
      </c>
    </row>
    <row r="180">
      <c r="A180" t="inlineStr">
        <is>
          <t>País Vasco</t>
        </is>
      </c>
      <c r="B180" s="29" t="n">
        <v>46388</v>
      </c>
      <c r="C180" t="inlineStr">
        <is>
          <t>Año Nuevo</t>
        </is>
      </c>
    </row>
    <row r="181">
      <c r="A181" t="inlineStr">
        <is>
          <t>País Vasco</t>
        </is>
      </c>
      <c r="B181" s="29" t="n">
        <v>46393</v>
      </c>
      <c r="C181" t="inlineStr">
        <is>
          <t>Epifanía del Señor</t>
        </is>
      </c>
    </row>
    <row r="182">
      <c r="A182" t="inlineStr">
        <is>
          <t>País Vasco</t>
        </is>
      </c>
      <c r="B182" s="29" t="n">
        <v>46471</v>
      </c>
      <c r="C182" t="inlineStr">
        <is>
          <t>Jueves Santo</t>
        </is>
      </c>
    </row>
    <row r="183">
      <c r="A183" t="inlineStr">
        <is>
          <t>País Vasco</t>
        </is>
      </c>
      <c r="B183" s="29" t="n">
        <v>46472</v>
      </c>
      <c r="C183" t="inlineStr">
        <is>
          <t>Viernes Santo</t>
        </is>
      </c>
    </row>
    <row r="184">
      <c r="A184" t="inlineStr">
        <is>
          <t>País Vasco</t>
        </is>
      </c>
      <c r="B184" s="29" t="n">
        <v>46475</v>
      </c>
      <c r="C184" t="inlineStr">
        <is>
          <t>Lunes de Pascua</t>
        </is>
      </c>
    </row>
    <row r="185">
      <c r="A185" t="inlineStr">
        <is>
          <t>País Vasco</t>
        </is>
      </c>
      <c r="B185" s="29" t="n">
        <v>46508</v>
      </c>
      <c r="C185" t="inlineStr">
        <is>
          <t>Fiesta del Trabajo</t>
        </is>
      </c>
    </row>
    <row r="186">
      <c r="A186" t="inlineStr">
        <is>
          <t>País Vasco</t>
        </is>
      </c>
      <c r="B186" s="29" t="n">
        <v>46667</v>
      </c>
      <c r="C186" t="inlineStr">
        <is>
          <t>Aniversario 1er Gobierno Euskadi</t>
        </is>
      </c>
    </row>
    <row r="187">
      <c r="A187" t="inlineStr">
        <is>
          <t>País Vasco</t>
        </is>
      </c>
      <c r="B187" s="29" t="n">
        <v>46672</v>
      </c>
      <c r="C187" t="inlineStr">
        <is>
          <t>Fiesta Nacional de España</t>
        </is>
      </c>
    </row>
    <row r="188">
      <c r="A188" t="inlineStr">
        <is>
          <t>País Vasco</t>
        </is>
      </c>
      <c r="B188" s="29" t="n">
        <v>46692</v>
      </c>
      <c r="C188" t="inlineStr">
        <is>
          <t>Todos los Santos</t>
        </is>
      </c>
    </row>
    <row r="189">
      <c r="A189" t="inlineStr">
        <is>
          <t>País Vasco</t>
        </is>
      </c>
      <c r="B189" s="29" t="n">
        <v>46727</v>
      </c>
      <c r="C189" t="inlineStr">
        <is>
          <t>Día de la Constitución Española</t>
        </is>
      </c>
    </row>
    <row r="190">
      <c r="A190" t="inlineStr">
        <is>
          <t>País Vasco</t>
        </is>
      </c>
      <c r="B190" s="29" t="n">
        <v>46729</v>
      </c>
      <c r="C190" t="inlineStr">
        <is>
          <t>Inmaculada Concepción</t>
        </is>
      </c>
    </row>
    <row r="191">
      <c r="A191" t="inlineStr">
        <is>
          <t>País Vasco</t>
        </is>
      </c>
      <c r="B191" s="29" t="n">
        <v>46746</v>
      </c>
      <c r="C191" t="inlineStr">
        <is>
          <t>Natividad del Señor</t>
        </is>
      </c>
    </row>
    <row r="192">
      <c r="A192" t="inlineStr">
        <is>
          <t>La Rioja</t>
        </is>
      </c>
      <c r="B192" s="29" t="n">
        <v>46388</v>
      </c>
      <c r="C192" t="inlineStr">
        <is>
          <t>Año Nuevo</t>
        </is>
      </c>
    </row>
    <row r="193">
      <c r="A193" t="inlineStr">
        <is>
          <t>La Rioja</t>
        </is>
      </c>
      <c r="B193" s="29" t="n">
        <v>46393</v>
      </c>
      <c r="C193" t="inlineStr">
        <is>
          <t>Epifanía del Señor</t>
        </is>
      </c>
    </row>
    <row r="194">
      <c r="A194" t="inlineStr">
        <is>
          <t>La Rioja</t>
        </is>
      </c>
      <c r="B194" s="29" t="n">
        <v>46471</v>
      </c>
      <c r="C194" t="inlineStr">
        <is>
          <t>Jueves Santo</t>
        </is>
      </c>
    </row>
    <row r="195">
      <c r="A195" t="inlineStr">
        <is>
          <t>La Rioja</t>
        </is>
      </c>
      <c r="B195" s="29" t="n">
        <v>46472</v>
      </c>
      <c r="C195" t="inlineStr">
        <is>
          <t>Viernes Santo</t>
        </is>
      </c>
    </row>
    <row r="196">
      <c r="A196" t="inlineStr">
        <is>
          <t>La Rioja</t>
        </is>
      </c>
      <c r="B196" s="29" t="n">
        <v>46475</v>
      </c>
      <c r="C196" t="inlineStr">
        <is>
          <t>Lunes de Pascua</t>
        </is>
      </c>
    </row>
    <row r="197">
      <c r="A197" t="inlineStr">
        <is>
          <t>La Rioja</t>
        </is>
      </c>
      <c r="B197" s="29" t="n">
        <v>46508</v>
      </c>
      <c r="C197" t="inlineStr">
        <is>
          <t>Fiesta del Trabajo</t>
        </is>
      </c>
    </row>
    <row r="198">
      <c r="A198" t="inlineStr">
        <is>
          <t>La Rioja</t>
        </is>
      </c>
      <c r="B198" s="29" t="n">
        <v>46547</v>
      </c>
      <c r="C198" t="inlineStr">
        <is>
          <t>Día de La Rioja</t>
        </is>
      </c>
    </row>
    <row r="199">
      <c r="A199" t="inlineStr">
        <is>
          <t>La Rioja</t>
        </is>
      </c>
      <c r="B199" s="29" t="n">
        <v>46672</v>
      </c>
      <c r="C199" t="inlineStr">
        <is>
          <t>Fiesta Nacional de España</t>
        </is>
      </c>
    </row>
    <row r="200">
      <c r="A200" t="inlineStr">
        <is>
          <t>La Rioja</t>
        </is>
      </c>
      <c r="B200" s="29" t="n">
        <v>46692</v>
      </c>
      <c r="C200" t="inlineStr">
        <is>
          <t>Todos los Santos</t>
        </is>
      </c>
    </row>
    <row r="201">
      <c r="A201" t="inlineStr">
        <is>
          <t>La Rioja</t>
        </is>
      </c>
      <c r="B201" s="29" t="n">
        <v>46727</v>
      </c>
      <c r="C201" t="inlineStr">
        <is>
          <t>Día de la Constitución Española</t>
        </is>
      </c>
    </row>
    <row r="202">
      <c r="A202" t="inlineStr">
        <is>
          <t>La Rioja</t>
        </is>
      </c>
      <c r="B202" s="29" t="n">
        <v>46729</v>
      </c>
      <c r="C202" t="inlineStr">
        <is>
          <t>Inmaculada Concepción</t>
        </is>
      </c>
    </row>
    <row r="203">
      <c r="A203" t="inlineStr">
        <is>
          <t>La Rioja</t>
        </is>
      </c>
      <c r="B203" s="29" t="n">
        <v>46746</v>
      </c>
      <c r="C203" t="inlineStr">
        <is>
          <t>Natividad del Señor</t>
        </is>
      </c>
    </row>
    <row r="204">
      <c r="A204" t="inlineStr">
        <is>
          <t>Comunitat Valenciana</t>
        </is>
      </c>
      <c r="B204" s="29" t="n">
        <v>46388</v>
      </c>
      <c r="C204" t="inlineStr">
        <is>
          <t>Año Nuevo</t>
        </is>
      </c>
    </row>
    <row r="205">
      <c r="A205" t="inlineStr">
        <is>
          <t>Comunitat Valenciana</t>
        </is>
      </c>
      <c r="B205" s="29" t="n">
        <v>46393</v>
      </c>
      <c r="C205" t="inlineStr">
        <is>
          <t>Epifanía del Señor</t>
        </is>
      </c>
    </row>
    <row r="206">
      <c r="A206" t="inlineStr">
        <is>
          <t>Comunitat Valenciana</t>
        </is>
      </c>
      <c r="B206" s="29" t="n">
        <v>46465</v>
      </c>
      <c r="C206" t="inlineStr">
        <is>
          <t>San José</t>
        </is>
      </c>
    </row>
    <row r="207">
      <c r="A207" t="inlineStr">
        <is>
          <t>Comunitat Valenciana</t>
        </is>
      </c>
      <c r="B207" s="29" t="n">
        <v>46472</v>
      </c>
      <c r="C207" t="inlineStr">
        <is>
          <t>Viernes Santo</t>
        </is>
      </c>
    </row>
    <row r="208">
      <c r="A208" t="inlineStr">
        <is>
          <t>Comunitat Valenciana</t>
        </is>
      </c>
      <c r="B208" s="29" t="n">
        <v>46475</v>
      </c>
      <c r="C208" t="inlineStr">
        <is>
          <t>Lunes de Pascua</t>
        </is>
      </c>
    </row>
    <row r="209">
      <c r="A209" t="inlineStr">
        <is>
          <t>Comunitat Valenciana</t>
        </is>
      </c>
      <c r="B209" s="29" t="n">
        <v>46508</v>
      </c>
      <c r="C209" t="inlineStr">
        <is>
          <t>Fiesta del Trabajo</t>
        </is>
      </c>
    </row>
    <row r="210">
      <c r="A210" t="inlineStr">
        <is>
          <t>Comunitat Valenciana</t>
        </is>
      </c>
      <c r="B210" s="29" t="n">
        <v>46669</v>
      </c>
      <c r="C210" t="inlineStr">
        <is>
          <t>Día de la Comunitat Valenciana</t>
        </is>
      </c>
    </row>
    <row r="211">
      <c r="A211" t="inlineStr">
        <is>
          <t>Comunitat Valenciana</t>
        </is>
      </c>
      <c r="B211" s="29" t="n">
        <v>46672</v>
      </c>
      <c r="C211" t="inlineStr">
        <is>
          <t>Fiesta Nacional de España</t>
        </is>
      </c>
    </row>
    <row r="212">
      <c r="A212" t="inlineStr">
        <is>
          <t>Comunitat Valenciana</t>
        </is>
      </c>
      <c r="B212" s="29" t="n">
        <v>46692</v>
      </c>
      <c r="C212" t="inlineStr">
        <is>
          <t>Todos los Santos</t>
        </is>
      </c>
    </row>
    <row r="213">
      <c r="A213" t="inlineStr">
        <is>
          <t>Comunitat Valenciana</t>
        </is>
      </c>
      <c r="B213" s="29" t="n">
        <v>46727</v>
      </c>
      <c r="C213" t="inlineStr">
        <is>
          <t>Día de la Constitución Española</t>
        </is>
      </c>
    </row>
    <row r="214">
      <c r="A214" t="inlineStr">
        <is>
          <t>Comunitat Valenciana</t>
        </is>
      </c>
      <c r="B214" s="29" t="n">
        <v>46729</v>
      </c>
      <c r="C214" t="inlineStr">
        <is>
          <t>Inmaculada Concepción</t>
        </is>
      </c>
    </row>
    <row r="215">
      <c r="A215" t="inlineStr">
        <is>
          <t>Comunitat Valenciana</t>
        </is>
      </c>
      <c r="B215" s="29" t="n">
        <v>46746</v>
      </c>
      <c r="C215" t="inlineStr">
        <is>
          <t>Natividad del Señor</t>
        </is>
      </c>
    </row>
    <row r="216">
      <c r="A216" t="inlineStr">
        <is>
          <t>Ceuta</t>
        </is>
      </c>
      <c r="B216" s="29" t="n">
        <v>46388</v>
      </c>
      <c r="C216" t="inlineStr">
        <is>
          <t>Año Nuevo</t>
        </is>
      </c>
    </row>
    <row r="217">
      <c r="A217" t="inlineStr">
        <is>
          <t>Ceuta</t>
        </is>
      </c>
      <c r="B217" s="29" t="n">
        <v>46393</v>
      </c>
      <c r="C217" t="inlineStr">
        <is>
          <t>Epifanía del Señor</t>
        </is>
      </c>
    </row>
    <row r="218">
      <c r="A218" t="inlineStr">
        <is>
          <t>Ceuta</t>
        </is>
      </c>
      <c r="B218" s="29" t="n">
        <v>46471</v>
      </c>
      <c r="C218" t="inlineStr">
        <is>
          <t>Jueves Santo</t>
        </is>
      </c>
    </row>
    <row r="219">
      <c r="A219" t="inlineStr">
        <is>
          <t>Ceuta</t>
        </is>
      </c>
      <c r="B219" s="29" t="n">
        <v>46472</v>
      </c>
      <c r="C219" t="inlineStr">
        <is>
          <t>Viernes Santo</t>
        </is>
      </c>
    </row>
    <row r="220">
      <c r="A220" t="inlineStr">
        <is>
          <t>Ceuta</t>
        </is>
      </c>
      <c r="B220" s="29" t="n">
        <v>46508</v>
      </c>
      <c r="C220" t="inlineStr">
        <is>
          <t>Fiesta del Trabajo</t>
        </is>
      </c>
    </row>
    <row r="221">
      <c r="A221" t="inlineStr">
        <is>
          <t>Ceuta</t>
        </is>
      </c>
      <c r="B221" s="29" t="n">
        <v>46524</v>
      </c>
      <c r="C221" t="inlineStr">
        <is>
          <t>Eidul Adha-Fiesta Sacrificio</t>
        </is>
      </c>
    </row>
    <row r="222">
      <c r="A222" t="inlineStr">
        <is>
          <t>Ceuta</t>
        </is>
      </c>
      <c r="B222" s="29" t="n">
        <v>46604</v>
      </c>
      <c r="C222" t="inlineStr">
        <is>
          <t>Nuestra Señora de África</t>
        </is>
      </c>
    </row>
    <row r="223">
      <c r="A223" t="inlineStr">
        <is>
          <t>Ceuta</t>
        </is>
      </c>
      <c r="B223" s="29" t="n">
        <v>46672</v>
      </c>
      <c r="C223" t="inlineStr">
        <is>
          <t>Fiesta Nacional de España</t>
        </is>
      </c>
    </row>
    <row r="224">
      <c r="A224" t="inlineStr">
        <is>
          <t>Ceuta</t>
        </is>
      </c>
      <c r="B224" s="29" t="n">
        <v>46692</v>
      </c>
      <c r="C224" t="inlineStr">
        <is>
          <t>Todos los Santos</t>
        </is>
      </c>
    </row>
    <row r="225">
      <c r="A225" t="inlineStr">
        <is>
          <t>Ceuta</t>
        </is>
      </c>
      <c r="B225" s="29" t="n">
        <v>46727</v>
      </c>
      <c r="C225" t="inlineStr">
        <is>
          <t>Día de la Constitución Española</t>
        </is>
      </c>
    </row>
    <row r="226">
      <c r="A226" t="inlineStr">
        <is>
          <t>Ceuta</t>
        </is>
      </c>
      <c r="B226" s="29" t="n">
        <v>46729</v>
      </c>
      <c r="C226" t="inlineStr">
        <is>
          <t>Inmaculada Concepción</t>
        </is>
      </c>
    </row>
    <row r="227">
      <c r="A227" t="inlineStr">
        <is>
          <t>Ceuta</t>
        </is>
      </c>
      <c r="B227" s="29" t="n">
        <v>46746</v>
      </c>
      <c r="C227" t="inlineStr">
        <is>
          <t>Natividad del Señor</t>
        </is>
      </c>
    </row>
    <row r="228">
      <c r="A228" t="inlineStr">
        <is>
          <t>Melilla</t>
        </is>
      </c>
      <c r="B228" s="29" t="n">
        <v>46388</v>
      </c>
      <c r="C228" t="inlineStr">
        <is>
          <t>Año Nuevo</t>
        </is>
      </c>
    </row>
    <row r="229">
      <c r="A229" t="inlineStr">
        <is>
          <t>Melilla</t>
        </is>
      </c>
      <c r="B229" s="29" t="n">
        <v>46393</v>
      </c>
      <c r="C229" t="inlineStr">
        <is>
          <t>Epifanía del Señor</t>
        </is>
      </c>
    </row>
    <row r="230">
      <c r="A230" t="inlineStr">
        <is>
          <t>Melilla</t>
        </is>
      </c>
      <c r="B230" s="29" t="n">
        <v>46456</v>
      </c>
      <c r="C230" t="inlineStr">
        <is>
          <t>Fiesta del Eid Fitr</t>
        </is>
      </c>
    </row>
    <row r="231">
      <c r="A231" t="inlineStr">
        <is>
          <t>Melilla</t>
        </is>
      </c>
      <c r="B231" s="29" t="n">
        <v>46471</v>
      </c>
      <c r="C231" t="inlineStr">
        <is>
          <t>Jueves Santo</t>
        </is>
      </c>
    </row>
    <row r="232">
      <c r="A232" t="inlineStr">
        <is>
          <t>Melilla</t>
        </is>
      </c>
      <c r="B232" s="29" t="n">
        <v>46472</v>
      </c>
      <c r="C232" t="inlineStr">
        <is>
          <t>Viernes Santo</t>
        </is>
      </c>
    </row>
    <row r="233">
      <c r="A233" t="inlineStr">
        <is>
          <t>Melilla</t>
        </is>
      </c>
      <c r="B233" s="29" t="n">
        <v>46508</v>
      </c>
      <c r="C233" t="inlineStr">
        <is>
          <t>Fiesta del Trabajo</t>
        </is>
      </c>
    </row>
    <row r="234">
      <c r="A234" t="inlineStr">
        <is>
          <t>Melilla</t>
        </is>
      </c>
      <c r="B234" s="29" t="n">
        <v>46524</v>
      </c>
      <c r="C234" t="inlineStr">
        <is>
          <t>Fiesta Sacrificio-Aid Al Adha</t>
        </is>
      </c>
    </row>
    <row r="235">
      <c r="A235" t="inlineStr">
        <is>
          <t>Melilla</t>
        </is>
      </c>
      <c r="B235" s="29" t="n">
        <v>46672</v>
      </c>
      <c r="C235" t="inlineStr">
        <is>
          <t>Fiesta Nacional de España</t>
        </is>
      </c>
    </row>
    <row r="236">
      <c r="A236" t="inlineStr">
        <is>
          <t>Melilla</t>
        </is>
      </c>
      <c r="B236" s="29" t="n">
        <v>46692</v>
      </c>
      <c r="C236" t="inlineStr">
        <is>
          <t>Todos los Santos</t>
        </is>
      </c>
    </row>
    <row r="237">
      <c r="A237" t="inlineStr">
        <is>
          <t>Melilla</t>
        </is>
      </c>
      <c r="B237" s="29" t="n">
        <v>46727</v>
      </c>
      <c r="C237" t="inlineStr">
        <is>
          <t>Día de la Constitución Española</t>
        </is>
      </c>
    </row>
    <row r="238">
      <c r="A238" t="inlineStr">
        <is>
          <t>Melilla</t>
        </is>
      </c>
      <c r="B238" s="29" t="n">
        <v>46729</v>
      </c>
      <c r="C238" t="inlineStr">
        <is>
          <t>Inmaculada Concepción</t>
        </is>
      </c>
    </row>
    <row r="239">
      <c r="A239" t="inlineStr">
        <is>
          <t>Melilla</t>
        </is>
      </c>
      <c r="B239" s="29" t="n">
        <v>46746</v>
      </c>
      <c r="C239" t="inlineStr">
        <is>
          <t>Natividad del Señor</t>
        </is>
      </c>
    </row>
  </sheetData>
  <dataValidations count="1">
    <dataValidation sqref="E5:E24" showDropDown="0" showInputMessage="0" showErrorMessage="1" allowBlank="0" errorTitle="Fecha" error="Escribe una fecha, por ejemplo 24/06/2027." type="date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1" t="inlineStr">
        <is>
          <t>Cómo usar esta plantilla</t>
        </is>
      </c>
    </row>
    <row r="2">
      <c r="A2" s="32" t="inlineStr">
        <is>
          <t>1. En «Resumen», elige tu comunidad: sus festivos de 2027 se sombrean solos en cada mes. Las fiestas locales y las de tu isla, añádelas en «Festivos».</t>
        </is>
      </c>
    </row>
    <row r="3">
      <c r="A3" s="32" t="inlineStr">
        <is>
          <t>2. Escribe el nombre de cada persona, los días de vacaciones que le corresponden este año y los que le quedan del anterior, si tu convenio los deja pasar.</t>
        </is>
      </c>
    </row>
    <row r="4">
      <c r="A4" s="32" t="inlineStr">
        <is>
          <t>3. En la hoja de cada mes, marca sus días: V vacaciones, M medio día, P permiso retribuido, B baja médica, A otra ausencia.</t>
        </is>
      </c>
    </row>
    <row r="5">
      <c r="A5" s="32" t="inlineStr">
        <is>
          <t>4. En «Resumen» se suman los días que lleva cada persona y los que le quedan; si se pasa, la casilla se pone en rojo.</t>
        </is>
      </c>
    </row>
    <row r="6">
      <c r="A6" s="32" t="inlineStr">
        <is>
          <t>5. Debajo de cada mes ves cuántas personas faltan y cuántas están cada día, para no dejar un día sin gente.</t>
        </is>
      </c>
    </row>
    <row r="7">
      <c r="A7" s="32" t="inlineStr">
        <is>
          <t>Sirve igual si tu convenio cuenta las vacaciones en días naturales o en laborables: la hoja cuenta los días que marcas.</t>
        </is>
      </c>
    </row>
    <row r="8">
      <c r="A8" s="32" t="inlineStr"/>
    </row>
    <row r="9">
      <c r="A9" s="31" t="inlineStr">
        <is>
          <t>Lo que dice la ley</t>
        </is>
      </c>
    </row>
    <row r="10">
      <c r="A10" s="32" t="inlineStr">
        <is>
          <t>· Las vacaciones son al menos treinta días naturales al año y no se pueden cambiar por dinero (Estatuto de los Trabajadores, art. 38.1).</t>
        </is>
      </c>
    </row>
    <row r="11">
      <c r="A11" s="32" t="inlineStr">
        <is>
          <t>· Las fechas se fijan de común acuerdo entre la empresa y la persona, según lo que diga el convenio (art. 38.2).</t>
        </is>
      </c>
    </row>
    <row r="12">
      <c r="A12" s="32" t="inlineStr">
        <is>
          <t>· Cada persona tiene que conocer sus fechas al menos dos meses antes de empezar a disfrutarlas (art. 38.3).</t>
        </is>
      </c>
    </row>
    <row r="13">
      <c r="A13" s="32" t="inlineStr">
        <is>
          <t>· Tu convenio puede tener reglas propias: compruébalo.</t>
        </is>
      </c>
    </row>
    <row r="14">
      <c r="A14" s="32" t="inlineStr"/>
    </row>
    <row r="15">
      <c r="A15" s="31" t="inlineStr">
        <is>
          <t>Sin hojas</t>
        </is>
      </c>
    </row>
    <row r="16">
      <c r="A16" s="32" t="inlineStr">
        <is>
          <t>Con SatControl cada persona pide sus días desde el móvil y ve cuántos le quedan, su responsable aprueba y el calendario del equipo se actualiza solo, con los festivos de tu provincia ya cargados.</t>
        </is>
      </c>
    </row>
    <row r="17">
      <c r="A17" s="33" t="inlineStr">
        <is>
          <t>Pruébalo gratis: satcontrol.es/vacaciones-y-ausencias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SatControl</dc:creator>
  <dc:title>Plantilla de control de vacaciones 2027</dc:title>
  <dcterms:created xsi:type="dcterms:W3CDTF">2026-10-30T21:29:13Z</dcterms:created>
  <dcterms:modified xsi:type="dcterms:W3CDTF">2026-10-30T21:29:13Z</dcterms:modified>
</cp:coreProperties>
</file>